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S\Documents\5_Instances\Commissions\Commission Energie\"/>
    </mc:Choice>
  </mc:AlternateContent>
  <xr:revisionPtr revIDLastSave="0" documentId="13_ncr:1_{38199D4B-3C0B-4980-8103-12310CD1B605}" xr6:coauthVersionLast="47" xr6:coauthVersionMax="47" xr10:uidLastSave="{00000000-0000-0000-0000-000000000000}"/>
  <bookViews>
    <workbookView xWindow="-108" yWindow="-108" windowWidth="23256" windowHeight="12576" xr2:uid="{808E69C9-810C-4352-B92E-5FA125B08EA7}"/>
  </bookViews>
  <sheets>
    <sheet name="Synthèse" sheetId="4" r:id="rId1"/>
    <sheet name="2020" sheetId="3" r:id="rId2"/>
    <sheet name="2021" sheetId="2" r:id="rId3"/>
    <sheet name="202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2" i="4" l="1"/>
  <c r="G101" i="4"/>
  <c r="F102" i="4"/>
  <c r="E101" i="4"/>
  <c r="D102" i="4"/>
  <c r="G102" i="4"/>
  <c r="E102" i="4"/>
  <c r="H101" i="4"/>
  <c r="F101" i="4"/>
  <c r="D101" i="4"/>
  <c r="C102" i="4"/>
  <c r="C101" i="4"/>
  <c r="C96" i="4"/>
  <c r="H96" i="4"/>
  <c r="G96" i="4"/>
  <c r="F96" i="4"/>
  <c r="E96" i="4"/>
  <c r="D96" i="4"/>
  <c r="H95" i="4"/>
  <c r="G95" i="4"/>
  <c r="F95" i="4"/>
  <c r="E95" i="4"/>
  <c r="D95" i="4"/>
  <c r="C95" i="4"/>
  <c r="H94" i="4"/>
  <c r="G94" i="4"/>
  <c r="F94" i="4"/>
  <c r="E94" i="4"/>
  <c r="D94" i="4"/>
  <c r="C94" i="4"/>
  <c r="H93" i="4"/>
  <c r="G93" i="4"/>
  <c r="F93" i="4"/>
  <c r="E93" i="4"/>
  <c r="D93" i="4"/>
  <c r="C93" i="4"/>
  <c r="H92" i="4"/>
  <c r="G92" i="4"/>
  <c r="F92" i="4"/>
  <c r="E92" i="4"/>
  <c r="D92" i="4"/>
  <c r="C92" i="4"/>
  <c r="H91" i="4"/>
  <c r="G91" i="4"/>
  <c r="F91" i="4"/>
  <c r="E91" i="4"/>
  <c r="D91" i="4"/>
  <c r="C91" i="4"/>
  <c r="H90" i="4"/>
  <c r="G90" i="4"/>
  <c r="F90" i="4"/>
  <c r="E90" i="4"/>
  <c r="D90" i="4"/>
  <c r="C90" i="4"/>
  <c r="H89" i="4"/>
  <c r="G89" i="4"/>
  <c r="F89" i="4"/>
  <c r="E89" i="4"/>
  <c r="D89" i="4"/>
  <c r="C89" i="4"/>
  <c r="H88" i="4"/>
  <c r="G88" i="4"/>
  <c r="F88" i="4"/>
  <c r="E88" i="4"/>
  <c r="D88" i="4"/>
  <c r="C88" i="4"/>
  <c r="H87" i="4"/>
  <c r="G87" i="4"/>
  <c r="F87" i="4"/>
  <c r="E87" i="4"/>
  <c r="D87" i="4"/>
  <c r="C87" i="4"/>
  <c r="H86" i="4"/>
  <c r="G86" i="4"/>
  <c r="F86" i="4"/>
  <c r="E86" i="4"/>
  <c r="D86" i="4"/>
  <c r="C86" i="4"/>
  <c r="H85" i="4"/>
  <c r="G85" i="4"/>
  <c r="F85" i="4"/>
  <c r="E85" i="4"/>
  <c r="D85" i="4"/>
  <c r="C85" i="4"/>
  <c r="H84" i="4"/>
  <c r="G84" i="4"/>
  <c r="F84" i="4"/>
  <c r="E84" i="4"/>
  <c r="D84" i="4"/>
  <c r="C84" i="4"/>
  <c r="H83" i="4"/>
  <c r="G83" i="4"/>
  <c r="F83" i="4"/>
  <c r="E83" i="4"/>
  <c r="D83" i="4"/>
  <c r="C83" i="4"/>
  <c r="H82" i="4"/>
  <c r="G82" i="4"/>
  <c r="F82" i="4"/>
  <c r="E82" i="4"/>
  <c r="D82" i="4"/>
  <c r="C82" i="4"/>
  <c r="H81" i="4"/>
  <c r="G81" i="4"/>
  <c r="F81" i="4"/>
  <c r="E81" i="4"/>
  <c r="D81" i="4"/>
  <c r="C81" i="4"/>
  <c r="H80" i="4"/>
  <c r="G80" i="4"/>
  <c r="F80" i="4"/>
  <c r="E80" i="4"/>
  <c r="D80" i="4"/>
  <c r="C80" i="4"/>
  <c r="H79" i="4"/>
  <c r="G79" i="4"/>
  <c r="F79" i="4"/>
  <c r="E79" i="4"/>
  <c r="D79" i="4"/>
  <c r="C79" i="4"/>
  <c r="H78" i="4"/>
  <c r="G78" i="4"/>
  <c r="F78" i="4"/>
  <c r="E78" i="4"/>
  <c r="D78" i="4"/>
  <c r="C78" i="4"/>
  <c r="H77" i="4"/>
  <c r="G77" i="4"/>
  <c r="F77" i="4"/>
  <c r="E77" i="4"/>
  <c r="D77" i="4"/>
  <c r="C77" i="4"/>
  <c r="H76" i="4"/>
  <c r="G76" i="4"/>
  <c r="F76" i="4"/>
  <c r="E76" i="4"/>
  <c r="D76" i="4"/>
  <c r="C76" i="4"/>
  <c r="H75" i="4"/>
  <c r="G75" i="4"/>
  <c r="F75" i="4"/>
  <c r="E75" i="4"/>
  <c r="D75" i="4"/>
  <c r="C75" i="4"/>
  <c r="H74" i="4"/>
  <c r="G74" i="4"/>
  <c r="F74" i="4"/>
  <c r="E74" i="4"/>
  <c r="D74" i="4"/>
  <c r="C74" i="4"/>
  <c r="H73" i="4"/>
  <c r="G73" i="4"/>
  <c r="F73" i="4"/>
  <c r="E73" i="4"/>
  <c r="D73" i="4"/>
  <c r="C73" i="4"/>
  <c r="H72" i="4"/>
  <c r="G72" i="4"/>
  <c r="F72" i="4"/>
  <c r="E72" i="4"/>
  <c r="D72" i="4"/>
  <c r="C72" i="4"/>
  <c r="H71" i="4"/>
  <c r="G71" i="4"/>
  <c r="F71" i="4"/>
  <c r="E71" i="4"/>
  <c r="D71" i="4"/>
  <c r="C71" i="4"/>
  <c r="H70" i="4"/>
  <c r="G70" i="4"/>
  <c r="F70" i="4"/>
  <c r="E70" i="4"/>
  <c r="D70" i="4"/>
  <c r="C70" i="4"/>
  <c r="H69" i="4"/>
  <c r="G69" i="4"/>
  <c r="F69" i="4"/>
  <c r="E69" i="4"/>
  <c r="D69" i="4"/>
  <c r="C69" i="4"/>
  <c r="H68" i="4"/>
  <c r="H67" i="4"/>
  <c r="G68" i="4"/>
  <c r="G67" i="4"/>
  <c r="F68" i="4"/>
  <c r="F67" i="4"/>
  <c r="E68" i="4"/>
  <c r="E67" i="4"/>
  <c r="D68" i="4"/>
  <c r="D67" i="4"/>
  <c r="AB67" i="3"/>
  <c r="C67" i="4"/>
  <c r="C68" i="4"/>
  <c r="H64" i="4"/>
  <c r="H63" i="4"/>
  <c r="G64" i="4"/>
  <c r="G63" i="4"/>
  <c r="F64" i="4"/>
  <c r="F63" i="4"/>
  <c r="E64" i="4"/>
  <c r="E63" i="4"/>
  <c r="D64" i="4"/>
  <c r="C64" i="4"/>
  <c r="C63" i="4"/>
  <c r="H62" i="4"/>
  <c r="G62" i="4"/>
  <c r="F62" i="4"/>
  <c r="E62" i="4"/>
  <c r="D62" i="4"/>
  <c r="C62" i="4"/>
  <c r="H61" i="4"/>
  <c r="G61" i="4"/>
  <c r="F61" i="4"/>
  <c r="E61" i="4"/>
  <c r="D61" i="4"/>
  <c r="C61" i="4"/>
  <c r="H60" i="4"/>
  <c r="G60" i="4"/>
  <c r="F60" i="4"/>
  <c r="E60" i="4"/>
  <c r="D60" i="4"/>
  <c r="C60" i="4"/>
  <c r="H59" i="4"/>
  <c r="G59" i="4"/>
  <c r="F59" i="4"/>
  <c r="E59" i="4"/>
  <c r="D59" i="4"/>
  <c r="C59" i="4"/>
  <c r="H58" i="4"/>
  <c r="G58" i="4"/>
  <c r="F58" i="4"/>
  <c r="E58" i="4"/>
  <c r="D58" i="4"/>
  <c r="C58" i="4"/>
  <c r="H57" i="4"/>
  <c r="G57" i="4"/>
  <c r="F57" i="4"/>
  <c r="E57" i="4"/>
  <c r="D57" i="4"/>
  <c r="C57" i="4"/>
  <c r="H56" i="4"/>
  <c r="G56" i="4"/>
  <c r="F56" i="4"/>
  <c r="E56" i="4"/>
  <c r="D56" i="4"/>
  <c r="C56" i="4"/>
  <c r="H55" i="4"/>
  <c r="G55" i="4"/>
  <c r="F55" i="4"/>
  <c r="E55" i="4"/>
  <c r="D55" i="4"/>
  <c r="C55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C24" i="4"/>
  <c r="H23" i="4"/>
  <c r="G23" i="4"/>
  <c r="F23" i="4"/>
  <c r="E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H5" i="4"/>
  <c r="G6" i="4"/>
  <c r="G5" i="4"/>
  <c r="F6" i="4"/>
  <c r="F5" i="4"/>
  <c r="E6" i="4"/>
  <c r="E5" i="4"/>
  <c r="D6" i="4"/>
  <c r="D5" i="4"/>
  <c r="C6" i="4"/>
  <c r="C5" i="4"/>
  <c r="T94" i="1"/>
  <c r="T93" i="1"/>
  <c r="T86" i="1"/>
  <c r="T74" i="1"/>
  <c r="T73" i="1"/>
  <c r="T85" i="1"/>
  <c r="J16" i="1"/>
  <c r="J15" i="1"/>
  <c r="I26" i="1"/>
  <c r="I25" i="1"/>
  <c r="Q16" i="1"/>
  <c r="Q15" i="1"/>
  <c r="Q58" i="1"/>
  <c r="Q57" i="1"/>
  <c r="X94" i="1"/>
  <c r="X93" i="1"/>
  <c r="X22" i="1"/>
  <c r="X21" i="1"/>
  <c r="X74" i="1"/>
  <c r="X73" i="1"/>
  <c r="X86" i="1"/>
  <c r="C97" i="1" l="1"/>
  <c r="C98" i="1"/>
  <c r="AA104" i="3"/>
  <c r="AB108" i="2"/>
  <c r="AB107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G107" i="2"/>
  <c r="X56" i="2"/>
  <c r="X74" i="2"/>
  <c r="X73" i="2"/>
  <c r="X86" i="2"/>
  <c r="V14" i="2"/>
  <c r="V13" i="2"/>
  <c r="V22" i="2"/>
  <c r="V21" i="2"/>
  <c r="T74" i="2"/>
  <c r="T73" i="2"/>
  <c r="T86" i="2"/>
  <c r="AA107" i="2" l="1"/>
  <c r="AA108" i="2"/>
  <c r="R14" i="2"/>
  <c r="R13" i="2"/>
  <c r="AB13" i="2" s="1"/>
  <c r="P86" i="2"/>
  <c r="P85" i="2"/>
  <c r="P74" i="2"/>
  <c r="P73" i="2"/>
  <c r="N14" i="2"/>
  <c r="N13" i="2"/>
  <c r="N21" i="2"/>
  <c r="AB104" i="3"/>
  <c r="AB103" i="3"/>
  <c r="AA103" i="3"/>
  <c r="E103" i="3"/>
  <c r="I103" i="3"/>
  <c r="V103" i="3"/>
  <c r="U104" i="3"/>
  <c r="V104" i="3"/>
  <c r="W104" i="3"/>
  <c r="X104" i="3"/>
  <c r="Y104" i="3"/>
  <c r="Z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C104" i="3"/>
  <c r="D103" i="3"/>
  <c r="F103" i="3"/>
  <c r="G103" i="3"/>
  <c r="H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W103" i="3"/>
  <c r="X103" i="3"/>
  <c r="Y103" i="3"/>
  <c r="Z103" i="3"/>
  <c r="C103" i="3"/>
  <c r="V5" i="3"/>
  <c r="V6" i="3"/>
  <c r="T74" i="3"/>
  <c r="T73" i="3"/>
  <c r="AB73" i="3" s="1"/>
  <c r="T86" i="3"/>
  <c r="T85" i="3"/>
  <c r="T22" i="3"/>
  <c r="T21" i="3"/>
  <c r="P74" i="3"/>
  <c r="P73" i="3"/>
  <c r="P86" i="3"/>
  <c r="P85" i="3"/>
  <c r="P22" i="3"/>
  <c r="P21" i="3"/>
  <c r="N14" i="3"/>
  <c r="N13" i="3"/>
  <c r="L74" i="3"/>
  <c r="L73" i="3"/>
  <c r="L86" i="3"/>
  <c r="L85" i="3"/>
  <c r="L22" i="3"/>
  <c r="L21" i="3"/>
  <c r="H74" i="3"/>
  <c r="H73" i="3"/>
  <c r="H86" i="3"/>
  <c r="H85" i="3"/>
  <c r="H22" i="3"/>
  <c r="H21" i="3"/>
  <c r="D74" i="3"/>
  <c r="D73" i="3"/>
  <c r="D17" i="3"/>
  <c r="D86" i="3"/>
  <c r="D85" i="3"/>
  <c r="D22" i="3"/>
  <c r="D21" i="3"/>
  <c r="AB21" i="3" s="1"/>
  <c r="L74" i="2"/>
  <c r="L73" i="2"/>
  <c r="L86" i="2"/>
  <c r="L85" i="2"/>
  <c r="E52" i="2"/>
  <c r="AA52" i="2" s="1"/>
  <c r="H68" i="2"/>
  <c r="H67" i="2"/>
  <c r="AB67" i="2" s="1"/>
  <c r="H56" i="2"/>
  <c r="AB56" i="2" s="1"/>
  <c r="H55" i="2"/>
  <c r="H74" i="2"/>
  <c r="H73" i="2"/>
  <c r="H18" i="2"/>
  <c r="H17" i="2"/>
  <c r="AB17" i="2" s="1"/>
  <c r="H30" i="2"/>
  <c r="AB30" i="2" s="1"/>
  <c r="H29" i="2"/>
  <c r="H26" i="2"/>
  <c r="AB26" i="2" s="1"/>
  <c r="H25" i="2"/>
  <c r="AB25" i="2" s="1"/>
  <c r="H86" i="2"/>
  <c r="H85" i="2"/>
  <c r="H6" i="2"/>
  <c r="AB6" i="2" s="1"/>
  <c r="H5" i="2"/>
  <c r="H22" i="2"/>
  <c r="AB22" i="2" s="1"/>
  <c r="H21" i="2"/>
  <c r="H14" i="2"/>
  <c r="H13" i="2"/>
  <c r="H24" i="2"/>
  <c r="AB24" i="2" s="1"/>
  <c r="H23" i="2"/>
  <c r="AB23" i="2" s="1"/>
  <c r="F44" i="2"/>
  <c r="F108" i="2" s="1"/>
  <c r="F43" i="2"/>
  <c r="F107" i="2" s="1"/>
  <c r="Z6" i="3"/>
  <c r="Z5" i="3"/>
  <c r="X74" i="3"/>
  <c r="X73" i="3"/>
  <c r="X86" i="3"/>
  <c r="X22" i="3"/>
  <c r="X21" i="3"/>
  <c r="AB102" i="3"/>
  <c r="AA102" i="3"/>
  <c r="AB101" i="3"/>
  <c r="AA101" i="3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93" i="3"/>
  <c r="AA93" i="3"/>
  <c r="AB92" i="3"/>
  <c r="AA92" i="3"/>
  <c r="AB91" i="3"/>
  <c r="AA91" i="3"/>
  <c r="AB90" i="3"/>
  <c r="AA90" i="3"/>
  <c r="AB89" i="3"/>
  <c r="AA89" i="3"/>
  <c r="AB88" i="3"/>
  <c r="AA88" i="3"/>
  <c r="AB87" i="3"/>
  <c r="AA87" i="3"/>
  <c r="AA86" i="3"/>
  <c r="AA85" i="3"/>
  <c r="AB84" i="3"/>
  <c r="AA84" i="3"/>
  <c r="AB83" i="3"/>
  <c r="AA83" i="3"/>
  <c r="AB82" i="3"/>
  <c r="AA82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5" i="3"/>
  <c r="AA75" i="3"/>
  <c r="AA74" i="3"/>
  <c r="AA73" i="3"/>
  <c r="AB72" i="3"/>
  <c r="AA72" i="3"/>
  <c r="AB71" i="3"/>
  <c r="AA71" i="3"/>
  <c r="AB70" i="3"/>
  <c r="AA70" i="3"/>
  <c r="AB69" i="3"/>
  <c r="AA69" i="3"/>
  <c r="AB68" i="3"/>
  <c r="AA68" i="3"/>
  <c r="AA67" i="3"/>
  <c r="AB66" i="3"/>
  <c r="AA66" i="3"/>
  <c r="AB65" i="3"/>
  <c r="AA65" i="3"/>
  <c r="AB62" i="3"/>
  <c r="AA62" i="3"/>
  <c r="AB61" i="3"/>
  <c r="AA61" i="3"/>
  <c r="AB60" i="3"/>
  <c r="AA60" i="3"/>
  <c r="AB59" i="3"/>
  <c r="AA59" i="3"/>
  <c r="AB58" i="3"/>
  <c r="AA58" i="3"/>
  <c r="AB57" i="3"/>
  <c r="AA57" i="3"/>
  <c r="AB56" i="3"/>
  <c r="AA56" i="3"/>
  <c r="AB55" i="3"/>
  <c r="AA55" i="3"/>
  <c r="AB54" i="3"/>
  <c r="AA54" i="3"/>
  <c r="AB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40" i="3"/>
  <c r="AA40" i="3"/>
  <c r="AB39" i="3"/>
  <c r="AA39" i="3"/>
  <c r="AB38" i="3"/>
  <c r="AA38" i="3"/>
  <c r="AB37" i="3"/>
  <c r="AA37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A22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6" i="3"/>
  <c r="AB5" i="3"/>
  <c r="AA5" i="3"/>
  <c r="AB106" i="2"/>
  <c r="D108" i="2"/>
  <c r="G108" i="2"/>
  <c r="I108" i="2"/>
  <c r="J108" i="2"/>
  <c r="C108" i="2"/>
  <c r="D107" i="2"/>
  <c r="E107" i="2"/>
  <c r="C107" i="2"/>
  <c r="AA106" i="2"/>
  <c r="AB105" i="2"/>
  <c r="AA105" i="2"/>
  <c r="AB100" i="2"/>
  <c r="AA100" i="2"/>
  <c r="AB99" i="2"/>
  <c r="AA99" i="2"/>
  <c r="AB98" i="2"/>
  <c r="AA98" i="2"/>
  <c r="AB97" i="2"/>
  <c r="AA97" i="2"/>
  <c r="AB96" i="2"/>
  <c r="AA96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8" i="2"/>
  <c r="AA88" i="2"/>
  <c r="AB87" i="2"/>
  <c r="AA87" i="2"/>
  <c r="AA86" i="2"/>
  <c r="AA85" i="2"/>
  <c r="AB84" i="2"/>
  <c r="AA84" i="2"/>
  <c r="AB83" i="2"/>
  <c r="AA83" i="2"/>
  <c r="AB82" i="2"/>
  <c r="AA82" i="2"/>
  <c r="AB81" i="2"/>
  <c r="AA81" i="2"/>
  <c r="AB80" i="2"/>
  <c r="AA80" i="2"/>
  <c r="AB79" i="2"/>
  <c r="AA79" i="2"/>
  <c r="AB78" i="2"/>
  <c r="AA78" i="2"/>
  <c r="AB77" i="2"/>
  <c r="AA77" i="2"/>
  <c r="AB76" i="2"/>
  <c r="AA76" i="2"/>
  <c r="AB75" i="2"/>
  <c r="AA75" i="2"/>
  <c r="AA74" i="2"/>
  <c r="AA73" i="2"/>
  <c r="AB72" i="2"/>
  <c r="AA72" i="2"/>
  <c r="AB71" i="2"/>
  <c r="AA71" i="2"/>
  <c r="AB70" i="2"/>
  <c r="AA70" i="2"/>
  <c r="AB69" i="2"/>
  <c r="AA69" i="2"/>
  <c r="AB68" i="2"/>
  <c r="AA68" i="2"/>
  <c r="AA67" i="2"/>
  <c r="AB66" i="2"/>
  <c r="AA66" i="2"/>
  <c r="AB65" i="2"/>
  <c r="AA65" i="2"/>
  <c r="AB62" i="2"/>
  <c r="AA62" i="2"/>
  <c r="AB61" i="2"/>
  <c r="AA61" i="2"/>
  <c r="AB60" i="2"/>
  <c r="AA60" i="2"/>
  <c r="AB59" i="2"/>
  <c r="AA59" i="2"/>
  <c r="AB58" i="2"/>
  <c r="AA58" i="2"/>
  <c r="AB57" i="2"/>
  <c r="AA57" i="2"/>
  <c r="AA56" i="2"/>
  <c r="AB55" i="2"/>
  <c r="AA55" i="2"/>
  <c r="AB54" i="2"/>
  <c r="AA54" i="2"/>
  <c r="AB53" i="2"/>
  <c r="AA53" i="2"/>
  <c r="AB52" i="2"/>
  <c r="AB51" i="2"/>
  <c r="AA51" i="2"/>
  <c r="AB50" i="2"/>
  <c r="AA50" i="2"/>
  <c r="AB49" i="2"/>
  <c r="AA49" i="2"/>
  <c r="AB48" i="2"/>
  <c r="AA48" i="2"/>
  <c r="AB47" i="2"/>
  <c r="AA47" i="2"/>
  <c r="AB46" i="2"/>
  <c r="AA46" i="2"/>
  <c r="AB45" i="2"/>
  <c r="AA45" i="2"/>
  <c r="AA44" i="2"/>
  <c r="AA43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A30" i="2"/>
  <c r="AB29" i="2"/>
  <c r="AA29" i="2"/>
  <c r="AB28" i="2"/>
  <c r="AA28" i="2"/>
  <c r="AB27" i="2"/>
  <c r="AA27" i="2"/>
  <c r="AA26" i="2"/>
  <c r="AA25" i="2"/>
  <c r="AA24" i="2"/>
  <c r="AA23" i="2"/>
  <c r="AA22" i="2"/>
  <c r="AB21" i="2"/>
  <c r="AA21" i="2"/>
  <c r="AB20" i="2"/>
  <c r="AA20" i="2"/>
  <c r="AB19" i="2"/>
  <c r="AA19" i="2"/>
  <c r="AB18" i="2"/>
  <c r="AA18" i="2"/>
  <c r="AA17" i="2"/>
  <c r="AB16" i="2"/>
  <c r="AA16" i="2"/>
  <c r="AB15" i="2"/>
  <c r="AA15" i="2"/>
  <c r="AA14" i="2"/>
  <c r="AA13" i="2"/>
  <c r="AB12" i="2"/>
  <c r="AA12" i="2"/>
  <c r="AB11" i="2"/>
  <c r="AA11" i="2"/>
  <c r="AB10" i="2"/>
  <c r="AA10" i="2"/>
  <c r="AB9" i="2"/>
  <c r="AA9" i="2"/>
  <c r="AB8" i="2"/>
  <c r="AA8" i="2"/>
  <c r="AB7" i="2"/>
  <c r="AA7" i="2"/>
  <c r="AA6" i="2"/>
  <c r="AB5" i="2"/>
  <c r="AA5" i="2"/>
  <c r="Y98" i="1"/>
  <c r="Z98" i="1"/>
  <c r="X97" i="1"/>
  <c r="Y97" i="1"/>
  <c r="Z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B67" i="1"/>
  <c r="AA67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B5" i="1"/>
  <c r="AA5" i="1"/>
  <c r="AA97" i="1" l="1"/>
  <c r="AA98" i="1"/>
  <c r="AB97" i="1"/>
  <c r="AB98" i="1"/>
  <c r="AB73" i="2"/>
  <c r="AB74" i="2"/>
  <c r="AB44" i="2"/>
  <c r="AB85" i="2"/>
  <c r="AB85" i="3"/>
  <c r="AB74" i="3"/>
  <c r="AB86" i="3"/>
  <c r="AB22" i="3"/>
  <c r="AB86" i="2"/>
  <c r="AB43" i="2"/>
  <c r="E108" i="2"/>
  <c r="H108" i="2"/>
  <c r="AB14" i="2"/>
  <c r="AB6" i="3"/>
</calcChain>
</file>

<file path=xl/sharedStrings.xml><?xml version="1.0" encoding="utf-8"?>
<sst xmlns="http://schemas.openxmlformats.org/spreadsheetml/2006/main" count="845" uniqueCount="83">
  <si>
    <t>CONSOMMATION ELECTRICITE ET GAZ BATIMENTS COMMUNAUX 2022</t>
  </si>
  <si>
    <t>LIEU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</si>
  <si>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</si>
  <si>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</si>
  <si>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</si>
  <si>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</si>
  <si>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</si>
  <si>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</si>
  <si>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</si>
  <si>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</si>
  <si>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SEPTREMBRE</t>
  </si>
  <si>
    <t>OCTOBRE</t>
  </si>
  <si>
    <t>NOVEMBRE</t>
  </si>
  <si>
    <t>DECEMBRE</t>
  </si>
  <si>
    <t>Gaz</t>
  </si>
  <si>
    <t>Electricité</t>
  </si>
  <si>
    <t>Montant</t>
  </si>
  <si>
    <t>Conso/
montant</t>
  </si>
  <si>
    <t>Bât.Maison de santé</t>
  </si>
  <si>
    <t>Bât.Salle des fêtes</t>
  </si>
  <si>
    <t>Bât. Golf</t>
  </si>
  <si>
    <t>Bât. Ateliers municipaux</t>
  </si>
  <si>
    <t>Bât. Gymnase</t>
  </si>
  <si>
    <t>Bât. STEP</t>
  </si>
  <si>
    <t>Bât. Bibliothèque</t>
  </si>
  <si>
    <t>Bât. Annexe CCAS</t>
  </si>
  <si>
    <t>Bât. Grande Halle</t>
  </si>
  <si>
    <t>Bât. Eglise</t>
  </si>
  <si>
    <t>Bât. Salle de danse</t>
  </si>
  <si>
    <t>Bât. Stade de foot</t>
  </si>
  <si>
    <t>Bât. Boulodromme</t>
  </si>
  <si>
    <t>Bât. Petite Halle</t>
  </si>
  <si>
    <t>Bât. Local de boxe</t>
  </si>
  <si>
    <t>Bât. Local pigeons voyageurs</t>
  </si>
  <si>
    <t>Bât. Local Police Municipale</t>
  </si>
  <si>
    <t>Bât tennis couvert</t>
  </si>
  <si>
    <t>Bât. Base de loisirs</t>
  </si>
  <si>
    <t>Bât. École des Pyrénées</t>
  </si>
  <si>
    <t>Ecole primaire cycle II</t>
  </si>
  <si>
    <t>Ecole maternelle cycle III</t>
  </si>
  <si>
    <t>Bât. Station pompage stade rugby</t>
  </si>
  <si>
    <t>Bât. Des Amants</t>
  </si>
  <si>
    <t>Bât. Impasse des écoles</t>
  </si>
  <si>
    <t>Coin grillades lac</t>
  </si>
  <si>
    <t>Bât station rue du Mont Sacon</t>
  </si>
  <si>
    <t>Passerelle piétonne</t>
  </si>
  <si>
    <t>Panneau lumineux</t>
  </si>
  <si>
    <t>Borne 1 marché Pl Répubique</t>
  </si>
  <si>
    <t>Borne 2 marché Pl République</t>
  </si>
  <si>
    <t>Coffret 1 Bld de Lassus</t>
  </si>
  <si>
    <t>Coffret 2 Pl V. Abeille</t>
  </si>
  <si>
    <t>Coffret 3 Pl V. Abeille</t>
  </si>
  <si>
    <t>Coffret 4 Pl V. Abeille</t>
  </si>
  <si>
    <t>Coffret fontaine av. du Nord</t>
  </si>
  <si>
    <t>Coffret permanent Rue Nationale</t>
  </si>
  <si>
    <t>Conso kwh</t>
  </si>
  <si>
    <t>STADE DE RUGBY</t>
  </si>
  <si>
    <t>Bât. Club du 3ème âge</t>
  </si>
  <si>
    <t>Coffret 1 Pl V. Abeille</t>
  </si>
  <si>
    <t>Bât. Mairie</t>
  </si>
  <si>
    <t>Branchement Place Lafayette</t>
  </si>
  <si>
    <t>Btx Communaux lac</t>
  </si>
  <si>
    <t>Appt 21 rue du Barry</t>
  </si>
  <si>
    <t>Espace Jean JORDA</t>
  </si>
  <si>
    <t>TOTAL</t>
  </si>
  <si>
    <t>CONSOMMATION ELECTRICITE ET GAZ BATIMENTS COMMUNAUX 2021</t>
  </si>
  <si>
    <t>Bât. des Pyrénées</t>
  </si>
  <si>
    <t>Rue Jeanne d'Arc</t>
  </si>
  <si>
    <t>CONSOMMATION ELECTRICITE ET GAZ BATIMENTS COMMUNAUX 2020</t>
  </si>
  <si>
    <t>Bât. Des Amants - Usine St-Paul</t>
  </si>
  <si>
    <t>Bât. Bibliothèque 21 ru du Barry</t>
  </si>
  <si>
    <t>Bât, 32 av de Luchon</t>
  </si>
  <si>
    <t xml:space="preserve"> </t>
  </si>
  <si>
    <t>Bât. Usine St-Paul - Rue des Amants</t>
  </si>
  <si>
    <t>Bât 32 avenue de Luchon</t>
  </si>
  <si>
    <t>6 Rue Pascal - Immeuble FERRE</t>
  </si>
  <si>
    <t>Eclairage au sol Place Valentin ABEILLE</t>
  </si>
  <si>
    <t>Bât. École des Pyrénées - 3 Rue jeanne d'Arc</t>
  </si>
  <si>
    <t xml:space="preserve">Bât. des Pyrénées </t>
  </si>
  <si>
    <t>Immeuble FERRE - 6 rue Pascal</t>
  </si>
  <si>
    <t>Bât. École des Pyrénées 2 rue Jeanne d'Arc</t>
  </si>
  <si>
    <t>CONSOMMATION ÉLECTRICITÉ ET GAZ BATIMENTS COMMUNAUX 2020-2022</t>
  </si>
  <si>
    <t>Bât. Rue Jeanne d'Arc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</si>
</sst>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313D1"/>
      <name val="Calibri"/>
      <family val="2"/>
      <scheme val="minor"/>
    </font>
    <font>
      <i/>
      <sz val="11"/>
      <color rgb="FF1313D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1313D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1313D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8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3" xfId="0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/>
    <xf numFmtId="0" fontId="4" fillId="0" borderId="4" xfId="0" applyFont="1" applyBorder="1" applyAlignment="1">
      <alignment horizontal="center"/>
    </xf>
    <xf numFmtId="44" fontId="0" fillId="2" borderId="3" xfId="1" applyFont="1" applyFill="1" applyBorder="1"/>
    <xf numFmtId="44" fontId="4" fillId="0" borderId="4" xfId="1" applyFont="1" applyBorder="1"/>
    <xf numFmtId="44" fontId="3" fillId="2" borderId="1" xfId="1" applyFont="1" applyFill="1" applyBorder="1"/>
    <xf numFmtId="44" fontId="5" fillId="0" borderId="2" xfId="1" applyFont="1" applyBorder="1"/>
    <xf numFmtId="0" fontId="7" fillId="3" borderId="7" xfId="0" applyFont="1" applyFill="1" applyBorder="1" applyAlignment="1">
      <alignment horizontal="center"/>
    </xf>
    <xf numFmtId="0" fontId="7" fillId="3" borderId="1" xfId="0" applyFont="1" applyFill="1" applyBorder="1"/>
    <xf numFmtId="0" fontId="8" fillId="3" borderId="2" xfId="0" applyFont="1" applyFill="1" applyBorder="1"/>
    <xf numFmtId="0" fontId="2" fillId="3" borderId="8" xfId="0" applyFont="1" applyFill="1" applyBorder="1" applyAlignment="1">
      <alignment horizontal="center"/>
    </xf>
    <xf numFmtId="44" fontId="2" fillId="3" borderId="3" xfId="1" applyFont="1" applyFill="1" applyBorder="1"/>
    <xf numFmtId="44" fontId="7" fillId="3" borderId="1" xfId="1" applyFont="1" applyFill="1" applyBorder="1"/>
    <xf numFmtId="44" fontId="8" fillId="3" borderId="2" xfId="1" applyFont="1" applyFill="1" applyBorder="1"/>
    <xf numFmtId="1" fontId="7" fillId="3" borderId="1" xfId="1" applyNumberFormat="1" applyFont="1" applyFill="1" applyBorder="1"/>
    <xf numFmtId="1" fontId="8" fillId="3" borderId="2" xfId="1" applyNumberFormat="1" applyFont="1" applyFill="1" applyBorder="1"/>
    <xf numFmtId="0" fontId="6" fillId="0" borderId="0" xfId="0" applyFont="1" applyAlignment="1"/>
    <xf numFmtId="44" fontId="3" fillId="2" borderId="1" xfId="0" applyNumberFormat="1" applyFont="1" applyFill="1" applyBorder="1"/>
    <xf numFmtId="1" fontId="3" fillId="2" borderId="1" xfId="0" applyNumberFormat="1" applyFont="1" applyFill="1" applyBorder="1"/>
    <xf numFmtId="1" fontId="5" fillId="0" borderId="2" xfId="0" applyNumberFormat="1" applyFont="1" applyBorder="1"/>
    <xf numFmtId="0" fontId="10" fillId="2" borderId="1" xfId="0" applyFont="1" applyFill="1" applyBorder="1"/>
    <xf numFmtId="0" fontId="10" fillId="0" borderId="2" xfId="0" applyFont="1" applyBorder="1"/>
    <xf numFmtId="44" fontId="9" fillId="0" borderId="4" xfId="1" applyFont="1" applyBorder="1"/>
    <xf numFmtId="44" fontId="9" fillId="2" borderId="3" xfId="1" applyFont="1" applyFill="1" applyBorder="1"/>
    <xf numFmtId="0" fontId="7" fillId="2" borderId="1" xfId="0" applyFont="1" applyFill="1" applyBorder="1"/>
    <xf numFmtId="0" fontId="8" fillId="0" borderId="2" xfId="0" applyFont="1" applyBorder="1"/>
    <xf numFmtId="44" fontId="2" fillId="2" borderId="3" xfId="1" applyFont="1" applyFill="1" applyBorder="1"/>
    <xf numFmtId="44" fontId="11" fillId="0" borderId="4" xfId="1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CC00"/>
      <color rgb="FF131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E38B-6247-4B07-8CE3-32420CAD97AB}">
  <sheetPr>
    <pageSetUpPr fitToPage="1"/>
  </sheetPr>
  <dimension ref="A1:H102"/>
  <sheetViews>
    <sheetView tabSelected="1" zoomScaleNormal="100" workbookViewId="0">
      <selection activeCell="G106" sqref="G106"/>
    </sheetView>
  </sheetViews>
  <sheetFormatPr baseColWidth="10" defaultRowHeight="14.4" x14ac:dyDescent="0.3"/>
  <cols>
    <col min="1" max="1" width="22.109375" customWidth="1"/>
    <col min="2" max="2" width="11.33203125" customWidth="1"/>
    <col min="3" max="3" width="13.44140625" bestFit="1" customWidth="1"/>
    <col min="4" max="8" width="11.6640625" bestFit="1" customWidth="1"/>
  </cols>
  <sheetData>
    <row r="1" spans="1:8" ht="23.4" x14ac:dyDescent="0.45">
      <c r="A1" s="22" t="s">
        <v>81</v>
      </c>
      <c r="B1" s="22"/>
      <c r="C1" s="22"/>
      <c r="D1" s="22"/>
      <c r="E1" s="22"/>
      <c r="F1" s="22"/>
      <c r="G1" s="22"/>
      <c r="H1" s="22"/>
    </row>
    <row r="2" spans="1:8" ht="15" thickBot="1" x14ac:dyDescent="0.35"/>
    <row r="3" spans="1:8" x14ac:dyDescent="0.3">
      <c r="A3" s="44" t="s">
        <v>1</v>
      </c>
      <c r="B3" s="46" t="s">
        <v>17</v>
      </c>
      <c r="C3" s="44">
        <v>2020</v>
      </c>
      <c r="D3" s="48"/>
      <c r="E3" s="44">
        <v>2021</v>
      </c>
      <c r="F3" s="48"/>
      <c r="G3" s="44">
        <v>2022</v>
      </c>
      <c r="H3" s="48"/>
    </row>
    <row r="4" spans="1:8" ht="15" thickBot="1" x14ac:dyDescent="0.35">
      <c r="A4" s="45"/>
      <c r="B4" s="47"/>
      <c r="C4" s="3" t="s">
        <v>14</v>
      </c>
      <c r="D4" s="6" t="s">
        <v>15</v>
      </c>
      <c r="E4" s="3" t="s">
        <v>14</v>
      </c>
      <c r="F4" s="6" t="s">
        <v>15</v>
      </c>
      <c r="G4" s="3" t="s">
        <v>14</v>
      </c>
      <c r="H4" s="6" t="s">
        <v>15</v>
      </c>
    </row>
    <row r="5" spans="1:8" x14ac:dyDescent="0.3">
      <c r="A5" s="36" t="s">
        <v>59</v>
      </c>
      <c r="B5" s="2" t="s">
        <v>55</v>
      </c>
      <c r="C5" s="4">
        <f>'2020'!AA5</f>
        <v>129614</v>
      </c>
      <c r="D5" s="7">
        <f>'2020'!AB5</f>
        <v>7783</v>
      </c>
      <c r="E5" s="4">
        <f>'2021'!AA5</f>
        <v>113852</v>
      </c>
      <c r="F5" s="7">
        <f>'2021'!AB5</f>
        <v>9670</v>
      </c>
      <c r="G5" s="26">
        <f>'2022'!AA5</f>
        <v>81604</v>
      </c>
      <c r="H5" s="7">
        <f>'2022'!AB5</f>
        <v>6285</v>
      </c>
    </row>
    <row r="6" spans="1:8" ht="15" thickBot="1" x14ac:dyDescent="0.35">
      <c r="A6" s="37"/>
      <c r="B6" s="1" t="s">
        <v>16</v>
      </c>
      <c r="C6" s="9">
        <f>'2020'!AA6</f>
        <v>7468.8000000000011</v>
      </c>
      <c r="D6" s="10">
        <f>'2020'!AB6</f>
        <v>1589.1499999999999</v>
      </c>
      <c r="E6" s="9">
        <f>'2021'!AA6</f>
        <v>7705.51</v>
      </c>
      <c r="F6" s="10">
        <f>'2021'!AB6</f>
        <v>2075.3200000000002</v>
      </c>
      <c r="G6" s="9">
        <f>'2022'!AA6</f>
        <v>12457.48</v>
      </c>
      <c r="H6" s="10">
        <f>'2022'!AB6</f>
        <v>1440.1299999999999</v>
      </c>
    </row>
    <row r="7" spans="1:8" x14ac:dyDescent="0.3">
      <c r="A7" s="36" t="s">
        <v>18</v>
      </c>
      <c r="B7" s="2" t="s">
        <v>55</v>
      </c>
      <c r="C7" s="4">
        <f>'2020'!AA7</f>
        <v>0</v>
      </c>
      <c r="D7" s="7">
        <f>'2020'!AB7</f>
        <v>4881</v>
      </c>
      <c r="E7" s="4">
        <f>'2021'!AA7</f>
        <v>0</v>
      </c>
      <c r="F7" s="7">
        <f>'2021'!AB7</f>
        <v>14803</v>
      </c>
      <c r="G7" s="4">
        <f>'2022'!AA7</f>
        <v>0</v>
      </c>
      <c r="H7" s="27">
        <f>'2022'!AB7</f>
        <v>10199</v>
      </c>
    </row>
    <row r="8" spans="1:8" ht="15" thickBot="1" x14ac:dyDescent="0.35">
      <c r="A8" s="37"/>
      <c r="B8" s="1" t="s">
        <v>16</v>
      </c>
      <c r="C8" s="9">
        <f>'2020'!AA8</f>
        <v>0</v>
      </c>
      <c r="D8" s="10">
        <f>'2020'!AB8</f>
        <v>3575.82</v>
      </c>
      <c r="E8" s="9">
        <f>'2021'!AA8</f>
        <v>15.5</v>
      </c>
      <c r="F8" s="10">
        <f>'2021'!AB8</f>
        <v>4859.8400000000011</v>
      </c>
      <c r="G8" s="9">
        <f>'2022'!AA8</f>
        <v>0</v>
      </c>
      <c r="H8" s="28">
        <f>'2022'!AB8</f>
        <v>4858.6099999999997</v>
      </c>
    </row>
    <row r="9" spans="1:8" x14ac:dyDescent="0.3">
      <c r="A9" s="36" t="s">
        <v>19</v>
      </c>
      <c r="B9" s="2" t="s">
        <v>55</v>
      </c>
      <c r="C9" s="4">
        <f>'2020'!AA9</f>
        <v>127932</v>
      </c>
      <c r="D9" s="7">
        <f>'2020'!AB9</f>
        <v>8744</v>
      </c>
      <c r="E9" s="4">
        <f>'2021'!AA9</f>
        <v>76761</v>
      </c>
      <c r="F9" s="7">
        <f>'2021'!AB9</f>
        <v>9877</v>
      </c>
      <c r="G9" s="4">
        <f>'2022'!AA9</f>
        <v>53890</v>
      </c>
      <c r="H9" s="7">
        <f>'2022'!AB9</f>
        <v>8451</v>
      </c>
    </row>
    <row r="10" spans="1:8" ht="15" thickBot="1" x14ac:dyDescent="0.35">
      <c r="A10" s="37"/>
      <c r="B10" s="1" t="s">
        <v>16</v>
      </c>
      <c r="C10" s="9">
        <f>'2020'!AA10</f>
        <v>7691.34</v>
      </c>
      <c r="D10" s="10">
        <f>'2020'!AB10</f>
        <v>3344.4900000000002</v>
      </c>
      <c r="E10" s="9">
        <f>'2021'!AA10</f>
        <v>6442.76</v>
      </c>
      <c r="F10" s="10">
        <f>'2021'!AB10</f>
        <v>3686.8200000000006</v>
      </c>
      <c r="G10" s="9">
        <f>'2022'!AA10</f>
        <v>9740.4199999999983</v>
      </c>
      <c r="H10" s="10">
        <f>'2022'!AB10</f>
        <v>2963.3300000000004</v>
      </c>
    </row>
    <row r="11" spans="1:8" x14ac:dyDescent="0.3">
      <c r="A11" s="36" t="s">
        <v>20</v>
      </c>
      <c r="B11" s="2" t="s">
        <v>55</v>
      </c>
      <c r="C11" s="4">
        <f>'2020'!AA11</f>
        <v>0</v>
      </c>
      <c r="D11" s="7">
        <f>'2020'!AB11</f>
        <v>12377</v>
      </c>
      <c r="E11" s="4">
        <f>'2021'!AA11</f>
        <v>0</v>
      </c>
      <c r="F11" s="7">
        <f>'2021'!AB11</f>
        <v>19830</v>
      </c>
      <c r="G11" s="4">
        <f>'2022'!AA11</f>
        <v>0</v>
      </c>
      <c r="H11" s="7">
        <f>'2022'!AB11</f>
        <v>9169</v>
      </c>
    </row>
    <row r="12" spans="1:8" ht="15" thickBot="1" x14ac:dyDescent="0.35">
      <c r="A12" s="37"/>
      <c r="B12" s="1" t="s">
        <v>16</v>
      </c>
      <c r="C12" s="9">
        <f>'2020'!AA12</f>
        <v>0</v>
      </c>
      <c r="D12" s="10">
        <f>'2020'!AB12</f>
        <v>2326.6</v>
      </c>
      <c r="E12" s="9">
        <f>'2021'!AA12</f>
        <v>0</v>
      </c>
      <c r="F12" s="10">
        <f>'2021'!AB12</f>
        <v>3727.15</v>
      </c>
      <c r="G12" s="9">
        <f>'2022'!AA12</f>
        <v>0</v>
      </c>
      <c r="H12" s="10">
        <f>'2022'!AB12</f>
        <v>2060.54</v>
      </c>
    </row>
    <row r="13" spans="1:8" x14ac:dyDescent="0.3">
      <c r="A13" s="42" t="s">
        <v>21</v>
      </c>
      <c r="B13" s="2" t="s">
        <v>55</v>
      </c>
      <c r="C13" s="4">
        <f>'2020'!AA13</f>
        <v>0</v>
      </c>
      <c r="D13" s="7">
        <f>'2020'!AB13</f>
        <v>51669</v>
      </c>
      <c r="E13" s="4">
        <f>'2021'!AA13</f>
        <v>0</v>
      </c>
      <c r="F13" s="7">
        <f>'2021'!AB13</f>
        <v>62157</v>
      </c>
      <c r="G13" s="4">
        <f>'2022'!AA13</f>
        <v>0</v>
      </c>
      <c r="H13" s="27">
        <f>'2022'!AB13</f>
        <v>21653</v>
      </c>
    </row>
    <row r="14" spans="1:8" ht="15" thickBot="1" x14ac:dyDescent="0.35">
      <c r="A14" s="49"/>
      <c r="B14" s="1" t="s">
        <v>16</v>
      </c>
      <c r="C14" s="9">
        <f>'2020'!AA14</f>
        <v>0</v>
      </c>
      <c r="D14" s="10">
        <f>'2020'!AB14</f>
        <v>9016.6099999999988</v>
      </c>
      <c r="E14" s="9">
        <f>'2021'!AA14</f>
        <v>0</v>
      </c>
      <c r="F14" s="10">
        <f>'2021'!AB14</f>
        <v>11180.539999999999</v>
      </c>
      <c r="G14" s="9">
        <f>'2022'!AA14</f>
        <v>0</v>
      </c>
      <c r="H14" s="28">
        <f>'2022'!AB14</f>
        <v>4332.2299999999996</v>
      </c>
    </row>
    <row r="15" spans="1:8" x14ac:dyDescent="0.3">
      <c r="A15" s="36" t="s">
        <v>22</v>
      </c>
      <c r="B15" s="2" t="s">
        <v>55</v>
      </c>
      <c r="C15" s="4">
        <f>'2020'!AA15</f>
        <v>239501</v>
      </c>
      <c r="D15" s="7">
        <f>'2020'!AB15</f>
        <v>14840</v>
      </c>
      <c r="E15" s="4">
        <f>'2021'!AA15</f>
        <v>201641</v>
      </c>
      <c r="F15" s="7">
        <f>'2021'!AB15</f>
        <v>14783</v>
      </c>
      <c r="G15" s="4">
        <f>'2022'!AA15</f>
        <v>134779</v>
      </c>
      <c r="H15" s="7">
        <f>'2022'!AB15</f>
        <v>12125</v>
      </c>
    </row>
    <row r="16" spans="1:8" ht="15" thickBot="1" x14ac:dyDescent="0.35">
      <c r="A16" s="37"/>
      <c r="B16" s="1" t="s">
        <v>16</v>
      </c>
      <c r="C16" s="9">
        <f>'2020'!AA16</f>
        <v>13571.94</v>
      </c>
      <c r="D16" s="10">
        <f>'2020'!AB16</f>
        <v>2787.3100000000004</v>
      </c>
      <c r="E16" s="9">
        <f>'2021'!AA16</f>
        <v>12456.419999999998</v>
      </c>
      <c r="F16" s="10">
        <f>'2021'!AB16</f>
        <v>2869.8599999999997</v>
      </c>
      <c r="G16" s="9">
        <f>'2022'!AA16</f>
        <v>22337.940000000002</v>
      </c>
      <c r="H16" s="10">
        <f>'2022'!AB16</f>
        <v>2926.31</v>
      </c>
    </row>
    <row r="17" spans="1:8" x14ac:dyDescent="0.3">
      <c r="A17" s="36" t="s">
        <v>23</v>
      </c>
      <c r="B17" s="2" t="s">
        <v>55</v>
      </c>
      <c r="C17" s="4">
        <f>'2020'!AA17</f>
        <v>0</v>
      </c>
      <c r="D17" s="7">
        <f>'2020'!AB17</f>
        <v>65096</v>
      </c>
      <c r="E17" s="4">
        <f>'2021'!AA17</f>
        <v>0</v>
      </c>
      <c r="F17" s="7">
        <f>'2021'!AB17</f>
        <v>58874</v>
      </c>
      <c r="G17" s="4">
        <f>'2022'!AA17</f>
        <v>0</v>
      </c>
      <c r="H17" s="7">
        <f>'2022'!AB17</f>
        <v>57000</v>
      </c>
    </row>
    <row r="18" spans="1:8" ht="15" thickBot="1" x14ac:dyDescent="0.35">
      <c r="A18" s="37"/>
      <c r="B18" s="1" t="s">
        <v>16</v>
      </c>
      <c r="C18" s="9">
        <f>'2020'!AA18</f>
        <v>0</v>
      </c>
      <c r="D18" s="10">
        <f>'2020'!AB18</f>
        <v>10910.5</v>
      </c>
      <c r="E18" s="9">
        <f>'2021'!AA18</f>
        <v>0</v>
      </c>
      <c r="F18" s="10">
        <f>'2021'!AB18</f>
        <v>10417.609999999997</v>
      </c>
      <c r="G18" s="9">
        <f>'2022'!AA18</f>
        <v>0</v>
      </c>
      <c r="H18" s="10">
        <f>'2022'!AB18</f>
        <v>10598.33</v>
      </c>
    </row>
    <row r="19" spans="1:8" x14ac:dyDescent="0.3">
      <c r="A19" s="36" t="s">
        <v>24</v>
      </c>
      <c r="B19" s="2" t="s">
        <v>55</v>
      </c>
      <c r="C19" s="4">
        <f>'2020'!AA19</f>
        <v>32867</v>
      </c>
      <c r="D19" s="7">
        <f>'2020'!AB19</f>
        <v>0</v>
      </c>
      <c r="E19" s="4">
        <f>'2021'!AA19</f>
        <v>38327</v>
      </c>
      <c r="F19" s="7">
        <f>'2021'!AB19</f>
        <v>0</v>
      </c>
      <c r="G19" s="4">
        <f>'2022'!AA19</f>
        <v>26600</v>
      </c>
      <c r="H19" s="7">
        <f>'2022'!AB19</f>
        <v>15</v>
      </c>
    </row>
    <row r="20" spans="1:8" ht="15" thickBot="1" x14ac:dyDescent="0.35">
      <c r="A20" s="37"/>
      <c r="B20" s="1" t="s">
        <v>16</v>
      </c>
      <c r="C20" s="9">
        <f>'2020'!AA20</f>
        <v>2103.2200000000003</v>
      </c>
      <c r="D20" s="10">
        <f>'2020'!AB20</f>
        <v>0</v>
      </c>
      <c r="E20" s="9">
        <f>'2021'!AA20</f>
        <v>2623.31</v>
      </c>
      <c r="F20" s="10">
        <f>'2021'!AB20</f>
        <v>0</v>
      </c>
      <c r="G20" s="9">
        <f>'2022'!AA20</f>
        <v>4682.0600000000004</v>
      </c>
      <c r="H20" s="10">
        <f>'2022'!AB20</f>
        <v>71.95</v>
      </c>
    </row>
    <row r="21" spans="1:8" x14ac:dyDescent="0.3">
      <c r="A21" s="36" t="s">
        <v>25</v>
      </c>
      <c r="B21" s="2" t="s">
        <v>55</v>
      </c>
      <c r="C21" s="4">
        <f>'2020'!AA21</f>
        <v>0</v>
      </c>
      <c r="D21" s="7">
        <f>'2020'!AB21</f>
        <v>12416</v>
      </c>
      <c r="E21" s="4">
        <f>'2021'!AA21</f>
        <v>0</v>
      </c>
      <c r="F21" s="7">
        <f>'2021'!AB21</f>
        <v>8767</v>
      </c>
      <c r="G21" s="4">
        <f>'2022'!AA21</f>
        <v>0</v>
      </c>
      <c r="H21" s="7">
        <f>'2022'!AB21</f>
        <v>2543</v>
      </c>
    </row>
    <row r="22" spans="1:8" ht="15" thickBot="1" x14ac:dyDescent="0.35">
      <c r="A22" s="37"/>
      <c r="B22" s="1" t="s">
        <v>16</v>
      </c>
      <c r="C22" s="9">
        <f>'2020'!AA22</f>
        <v>0</v>
      </c>
      <c r="D22" s="10">
        <f>'2020'!AB22</f>
        <v>2332.0100000000002</v>
      </c>
      <c r="E22" s="9">
        <f>'2021'!AA22</f>
        <v>0</v>
      </c>
      <c r="F22" s="10">
        <f>'2021'!AB22</f>
        <v>1758.1100000000001</v>
      </c>
      <c r="G22" s="9">
        <f>'2022'!AA22</f>
        <v>0</v>
      </c>
      <c r="H22" s="10">
        <f>'2022'!AB22</f>
        <v>712.27</v>
      </c>
    </row>
    <row r="23" spans="1:8" x14ac:dyDescent="0.3">
      <c r="A23" s="36" t="s">
        <v>26</v>
      </c>
      <c r="B23" s="2" t="s">
        <v>55</v>
      </c>
      <c r="C23" s="4">
        <f>'2020'!AA23</f>
        <v>0</v>
      </c>
      <c r="D23" s="7">
        <v>24</v>
      </c>
      <c r="E23" s="4">
        <f>'2021'!AA23</f>
        <v>0</v>
      </c>
      <c r="F23" s="7">
        <f>'2021'!AB23</f>
        <v>235</v>
      </c>
      <c r="G23" s="4">
        <f>'2022'!AA23</f>
        <v>0</v>
      </c>
      <c r="H23" s="7">
        <f>'2022'!AB23</f>
        <v>149</v>
      </c>
    </row>
    <row r="24" spans="1:8" ht="15" thickBot="1" x14ac:dyDescent="0.35">
      <c r="A24" s="37"/>
      <c r="B24" s="1" t="s">
        <v>16</v>
      </c>
      <c r="C24" s="9">
        <f>'2020'!AA24</f>
        <v>0</v>
      </c>
      <c r="D24" s="10">
        <v>2332.0100000000002</v>
      </c>
      <c r="E24" s="9">
        <f>'2021'!AA24</f>
        <v>0</v>
      </c>
      <c r="F24" s="10">
        <f>'2021'!AB24</f>
        <v>396.24</v>
      </c>
      <c r="G24" s="9">
        <f>'2022'!AA24</f>
        <v>0</v>
      </c>
      <c r="H24" s="10">
        <f>'2022'!AB24</f>
        <v>394</v>
      </c>
    </row>
    <row r="25" spans="1:8" x14ac:dyDescent="0.3">
      <c r="A25" s="36" t="s">
        <v>27</v>
      </c>
      <c r="B25" s="2" t="s">
        <v>55</v>
      </c>
      <c r="C25" s="4">
        <f>'2020'!AA25</f>
        <v>45367</v>
      </c>
      <c r="D25" s="7">
        <f>'2020'!AB25</f>
        <v>607</v>
      </c>
      <c r="E25" s="4">
        <f>'2021'!AA25</f>
        <v>39741</v>
      </c>
      <c r="F25" s="7">
        <f>'2021'!AB25</f>
        <v>1871</v>
      </c>
      <c r="G25" s="4">
        <f>'2022'!AA25</f>
        <v>23178</v>
      </c>
      <c r="H25" s="7">
        <f>'2022'!AB25</f>
        <v>1885</v>
      </c>
    </row>
    <row r="26" spans="1:8" ht="15" thickBot="1" x14ac:dyDescent="0.35">
      <c r="A26" s="37"/>
      <c r="B26" s="1" t="s">
        <v>16</v>
      </c>
      <c r="C26" s="9">
        <f>'2020'!AA26</f>
        <v>2501.2600000000002</v>
      </c>
      <c r="D26" s="10">
        <f>'2020'!AB26</f>
        <v>361.83</v>
      </c>
      <c r="E26" s="9">
        <f>'2021'!AA26</f>
        <v>2536.12</v>
      </c>
      <c r="F26" s="10">
        <f>'2021'!AB26</f>
        <v>668.73</v>
      </c>
      <c r="G26" s="9">
        <f>'2022'!AA26</f>
        <v>3787.7</v>
      </c>
      <c r="H26" s="10">
        <f>'2022'!AB26</f>
        <v>699.43000000000006</v>
      </c>
    </row>
    <row r="27" spans="1:8" x14ac:dyDescent="0.3">
      <c r="A27" s="36" t="s">
        <v>28</v>
      </c>
      <c r="B27" s="2" t="s">
        <v>55</v>
      </c>
      <c r="C27" s="4">
        <f>'2020'!AA27</f>
        <v>0</v>
      </c>
      <c r="D27" s="7">
        <f>'2020'!AB27</f>
        <v>20300</v>
      </c>
      <c r="E27" s="4">
        <f>'2021'!AA27</f>
        <v>0</v>
      </c>
      <c r="F27" s="7">
        <f>'2021'!AB27</f>
        <v>12963</v>
      </c>
      <c r="G27" s="4">
        <f>'2022'!AA27</f>
        <v>0</v>
      </c>
      <c r="H27" s="7">
        <f>'2022'!AB27</f>
        <v>15422</v>
      </c>
    </row>
    <row r="28" spans="1:8" ht="15" thickBot="1" x14ac:dyDescent="0.35">
      <c r="A28" s="37"/>
      <c r="B28" s="1" t="s">
        <v>16</v>
      </c>
      <c r="C28" s="9">
        <f>'2020'!AA28</f>
        <v>0</v>
      </c>
      <c r="D28" s="10">
        <f>'2020'!AB28</f>
        <v>3598.44</v>
      </c>
      <c r="E28" s="9">
        <f>'2021'!AA28</f>
        <v>0</v>
      </c>
      <c r="F28" s="10">
        <f>'2021'!AB28</f>
        <v>2459.17</v>
      </c>
      <c r="G28" s="9">
        <f>'2022'!AA28</f>
        <v>0</v>
      </c>
      <c r="H28" s="10">
        <f>'2022'!AB28</f>
        <v>3175.9600000000005</v>
      </c>
    </row>
    <row r="29" spans="1:8" x14ac:dyDescent="0.3">
      <c r="A29" s="36" t="s">
        <v>29</v>
      </c>
      <c r="B29" s="2" t="s">
        <v>55</v>
      </c>
      <c r="C29" s="4">
        <f>'2020'!AA29</f>
        <v>12702</v>
      </c>
      <c r="D29" s="7">
        <f>'2020'!AB29</f>
        <v>4415</v>
      </c>
      <c r="E29" s="4">
        <f>'2021'!AA29</f>
        <v>11975</v>
      </c>
      <c r="F29" s="7">
        <f>'2021'!AB29</f>
        <v>1876</v>
      </c>
      <c r="G29" s="4">
        <f>'2022'!AA29</f>
        <v>7488</v>
      </c>
      <c r="H29" s="7">
        <f>'2022'!AB29</f>
        <v>7342</v>
      </c>
    </row>
    <row r="30" spans="1:8" ht="15" thickBot="1" x14ac:dyDescent="0.35">
      <c r="A30" s="37"/>
      <c r="B30" s="1" t="s">
        <v>16</v>
      </c>
      <c r="C30" s="9">
        <f>'2020'!AA30</f>
        <v>1003.1800000000001</v>
      </c>
      <c r="D30" s="10">
        <f>'2020'!AB30</f>
        <v>1031.19</v>
      </c>
      <c r="E30" s="9">
        <f>'2021'!AA30</f>
        <v>1008.95</v>
      </c>
      <c r="F30" s="10">
        <f>'2021'!AB30</f>
        <v>717.40000000000009</v>
      </c>
      <c r="G30" s="9">
        <f>'2022'!AA30</f>
        <v>1350.98</v>
      </c>
      <c r="H30" s="10">
        <f>'2022'!AB30</f>
        <v>1685.75</v>
      </c>
    </row>
    <row r="31" spans="1:8" x14ac:dyDescent="0.3">
      <c r="A31" s="36" t="s">
        <v>30</v>
      </c>
      <c r="B31" s="2" t="s">
        <v>55</v>
      </c>
      <c r="C31" s="4">
        <f>'2020'!AA31</f>
        <v>0</v>
      </c>
      <c r="D31" s="7">
        <f>'2020'!AB31</f>
        <v>7701</v>
      </c>
      <c r="E31" s="4">
        <f>'2021'!AA31</f>
        <v>0</v>
      </c>
      <c r="F31" s="7">
        <f>'2021'!AB31</f>
        <v>3680</v>
      </c>
      <c r="G31" s="4">
        <f>'2022'!AA31</f>
        <v>0</v>
      </c>
      <c r="H31" s="7">
        <f>'2022'!AB31</f>
        <v>2139</v>
      </c>
    </row>
    <row r="32" spans="1:8" ht="15" thickBot="1" x14ac:dyDescent="0.35">
      <c r="A32" s="37"/>
      <c r="B32" s="1" t="s">
        <v>16</v>
      </c>
      <c r="C32" s="9">
        <f>'2020'!AA32</f>
        <v>0</v>
      </c>
      <c r="D32" s="10">
        <f>'2020'!AB32</f>
        <v>1654.12</v>
      </c>
      <c r="E32" s="9">
        <f>'2021'!AA32</f>
        <v>0</v>
      </c>
      <c r="F32" s="10">
        <f>'2021'!AB32</f>
        <v>1113.5200000000002</v>
      </c>
      <c r="G32" s="9">
        <f>'2022'!AA32</f>
        <v>0</v>
      </c>
      <c r="H32" s="10">
        <f>'2022'!AB32</f>
        <v>930.08999999999992</v>
      </c>
    </row>
    <row r="33" spans="1:8" x14ac:dyDescent="0.3">
      <c r="A33" s="36" t="s">
        <v>31</v>
      </c>
      <c r="B33" s="2" t="s">
        <v>55</v>
      </c>
      <c r="C33" s="4">
        <f>'2020'!AA33</f>
        <v>0</v>
      </c>
      <c r="D33" s="7">
        <f>'2020'!AB33</f>
        <v>3153</v>
      </c>
      <c r="E33" s="4">
        <f>'2021'!AA33</f>
        <v>0</v>
      </c>
      <c r="F33" s="7">
        <f>'2021'!AB33</f>
        <v>3888</v>
      </c>
      <c r="G33" s="4">
        <f>'2022'!AA33</f>
        <v>0</v>
      </c>
      <c r="H33" s="7">
        <f>'2022'!AB33</f>
        <v>3176</v>
      </c>
    </row>
    <row r="34" spans="1:8" ht="15" thickBot="1" x14ac:dyDescent="0.35">
      <c r="A34" s="37"/>
      <c r="B34" s="1" t="s">
        <v>16</v>
      </c>
      <c r="C34" s="9">
        <f>'2020'!AA34</f>
        <v>0</v>
      </c>
      <c r="D34" s="10">
        <f>'2020'!AB34</f>
        <v>947.69999999999993</v>
      </c>
      <c r="E34" s="9">
        <f>'2021'!AA34</f>
        <v>0</v>
      </c>
      <c r="F34" s="10">
        <f>'2021'!AB34</f>
        <v>1306.25</v>
      </c>
      <c r="G34" s="9">
        <f>'2022'!AA34</f>
        <v>0</v>
      </c>
      <c r="H34" s="10">
        <f>'2022'!AB34</f>
        <v>1139.8799999999999</v>
      </c>
    </row>
    <row r="35" spans="1:8" x14ac:dyDescent="0.3">
      <c r="A35" s="38" t="s">
        <v>32</v>
      </c>
      <c r="B35" s="2" t="s">
        <v>55</v>
      </c>
      <c r="C35" s="4">
        <f>'2020'!AA35</f>
        <v>0</v>
      </c>
      <c r="D35" s="7">
        <f>'2020'!AB35</f>
        <v>0</v>
      </c>
      <c r="E35" s="4">
        <f>'2021'!AA35</f>
        <v>0</v>
      </c>
      <c r="F35" s="7">
        <f>'2021'!AB35</f>
        <v>33</v>
      </c>
      <c r="G35" s="4">
        <f>'2022'!AA35</f>
        <v>0</v>
      </c>
      <c r="H35" s="7">
        <f>'2022'!AB35</f>
        <v>8</v>
      </c>
    </row>
    <row r="36" spans="1:8" ht="15" thickBot="1" x14ac:dyDescent="0.35">
      <c r="A36" s="39"/>
      <c r="B36" s="1" t="s">
        <v>16</v>
      </c>
      <c r="C36" s="9">
        <f>'2020'!AA36</f>
        <v>0</v>
      </c>
      <c r="D36" s="10">
        <f>'2020'!AB36</f>
        <v>0</v>
      </c>
      <c r="E36" s="9">
        <f>'2021'!AA36</f>
        <v>0</v>
      </c>
      <c r="F36" s="10">
        <f>'2021'!AB36</f>
        <v>162.63999999999999</v>
      </c>
      <c r="G36" s="9">
        <f>'2022'!AA36</f>
        <v>0</v>
      </c>
      <c r="H36" s="10">
        <f>'2022'!AB36</f>
        <v>229.96</v>
      </c>
    </row>
    <row r="37" spans="1:8" ht="15" customHeight="1" x14ac:dyDescent="0.3">
      <c r="A37" s="38" t="s">
        <v>33</v>
      </c>
      <c r="B37" s="2" t="s">
        <v>55</v>
      </c>
      <c r="C37" s="4">
        <f>'2020'!AA37</f>
        <v>0</v>
      </c>
      <c r="D37" s="7">
        <f>'2020'!AB37</f>
        <v>1886</v>
      </c>
      <c r="E37" s="4">
        <f>'2021'!AA37</f>
        <v>0</v>
      </c>
      <c r="F37" s="7">
        <f>'2021'!AB37</f>
        <v>1892</v>
      </c>
      <c r="G37" s="4">
        <f>'2022'!AA37</f>
        <v>0</v>
      </c>
      <c r="H37" s="7">
        <f>'2022'!AB37</f>
        <v>1755</v>
      </c>
    </row>
    <row r="38" spans="1:8" ht="15" thickBot="1" x14ac:dyDescent="0.35">
      <c r="A38" s="39"/>
      <c r="B38" s="1" t="s">
        <v>16</v>
      </c>
      <c r="C38" s="9">
        <f>'2020'!AA38</f>
        <v>0</v>
      </c>
      <c r="D38" s="10">
        <f>'2020'!AB38</f>
        <v>468.92999999999995</v>
      </c>
      <c r="E38" s="9">
        <f>'2021'!AA38</f>
        <v>0</v>
      </c>
      <c r="F38" s="10">
        <f>'2021'!AB38</f>
        <v>531.11</v>
      </c>
      <c r="G38" s="9">
        <f>'2022'!AA38</f>
        <v>0</v>
      </c>
      <c r="H38" s="10">
        <f>'2022'!AB38</f>
        <v>541.87</v>
      </c>
    </row>
    <row r="39" spans="1:8" ht="15" customHeight="1" x14ac:dyDescent="0.3">
      <c r="A39" s="38" t="s">
        <v>34</v>
      </c>
      <c r="B39" s="2" t="s">
        <v>55</v>
      </c>
      <c r="C39" s="4">
        <f>'2020'!AA39</f>
        <v>0</v>
      </c>
      <c r="D39" s="7">
        <f>'2020'!AB39</f>
        <v>0</v>
      </c>
      <c r="E39" s="4">
        <f>'2021'!AA39</f>
        <v>0</v>
      </c>
      <c r="F39" s="7">
        <f>'2021'!AB39</f>
        <v>7529</v>
      </c>
      <c r="G39" s="4">
        <f>'2022'!AA39</f>
        <v>0</v>
      </c>
      <c r="H39" s="7">
        <f>'2022'!AB39</f>
        <v>8801</v>
      </c>
    </row>
    <row r="40" spans="1:8" ht="15" thickBot="1" x14ac:dyDescent="0.35">
      <c r="A40" s="39"/>
      <c r="B40" s="1" t="s">
        <v>16</v>
      </c>
      <c r="C40" s="9">
        <f>'2020'!AA40</f>
        <v>0</v>
      </c>
      <c r="D40" s="10">
        <f>'2020'!AB40</f>
        <v>0</v>
      </c>
      <c r="E40" s="9">
        <f>'2021'!AA40</f>
        <v>0</v>
      </c>
      <c r="F40" s="10">
        <f>'2021'!AB40</f>
        <v>1375.1100000000001</v>
      </c>
      <c r="G40" s="9">
        <f>'2022'!AA40</f>
        <v>0</v>
      </c>
      <c r="H40" s="10">
        <f>'2022'!AB40</f>
        <v>1742.35</v>
      </c>
    </row>
    <row r="41" spans="1:8" x14ac:dyDescent="0.3">
      <c r="A41" s="38" t="s">
        <v>35</v>
      </c>
      <c r="B41" s="2" t="s">
        <v>55</v>
      </c>
      <c r="C41" s="4">
        <f>'2020'!AA41</f>
        <v>0</v>
      </c>
      <c r="D41" s="7">
        <f>'2020'!AB41</f>
        <v>16580</v>
      </c>
      <c r="E41" s="4">
        <f>'2021'!AA41</f>
        <v>0</v>
      </c>
      <c r="F41" s="7">
        <f>'2021'!AB41</f>
        <v>12200</v>
      </c>
      <c r="G41" s="4">
        <f>'2022'!AA41</f>
        <v>0</v>
      </c>
      <c r="H41" s="7">
        <f>'2022'!AB41</f>
        <v>13555</v>
      </c>
    </row>
    <row r="42" spans="1:8" ht="15" thickBot="1" x14ac:dyDescent="0.35">
      <c r="A42" s="39"/>
      <c r="B42" s="1" t="s">
        <v>16</v>
      </c>
      <c r="C42" s="9">
        <f>'2020'!AA42</f>
        <v>0</v>
      </c>
      <c r="D42" s="10">
        <f>'2020'!AB42</f>
        <v>2940.59</v>
      </c>
      <c r="E42" s="9">
        <f>'2021'!AA42</f>
        <v>0</v>
      </c>
      <c r="F42" s="10">
        <f>'2021'!AB42</f>
        <v>2421.3999999999996</v>
      </c>
      <c r="G42" s="9">
        <f>'2022'!AA42</f>
        <v>0</v>
      </c>
      <c r="H42" s="10">
        <f>'2022'!AB42</f>
        <v>2856.02</v>
      </c>
    </row>
    <row r="43" spans="1:8" x14ac:dyDescent="0.3">
      <c r="A43" s="38" t="s">
        <v>36</v>
      </c>
      <c r="B43" s="2" t="s">
        <v>55</v>
      </c>
      <c r="C43" s="4">
        <f>'2020'!AA43</f>
        <v>0</v>
      </c>
      <c r="D43" s="7">
        <f>'2020'!AB43</f>
        <v>611</v>
      </c>
      <c r="E43" s="4">
        <f>'2021'!AA43</f>
        <v>0</v>
      </c>
      <c r="F43" s="7">
        <f>'2021'!AB43</f>
        <v>24610</v>
      </c>
      <c r="G43" s="4">
        <f>'2022'!AA43</f>
        <v>0</v>
      </c>
      <c r="H43" s="7">
        <f>'2022'!AB43</f>
        <v>146</v>
      </c>
    </row>
    <row r="44" spans="1:8" ht="15" thickBot="1" x14ac:dyDescent="0.35">
      <c r="A44" s="39"/>
      <c r="B44" s="1" t="s">
        <v>16</v>
      </c>
      <c r="C44" s="9">
        <f>'2020'!AA44</f>
        <v>0</v>
      </c>
      <c r="D44" s="10">
        <f>'2020'!AB44</f>
        <v>443.81999999999994</v>
      </c>
      <c r="E44" s="9">
        <f>'2021'!AA44</f>
        <v>0</v>
      </c>
      <c r="F44" s="10">
        <f>'2021'!AB44</f>
        <v>4632.16</v>
      </c>
      <c r="G44" s="9">
        <f>'2022'!AA44</f>
        <v>0</v>
      </c>
      <c r="H44" s="10">
        <f>'2022'!AB44</f>
        <v>569.66</v>
      </c>
    </row>
    <row r="45" spans="1:8" x14ac:dyDescent="0.3">
      <c r="A45" s="42" t="s">
        <v>37</v>
      </c>
      <c r="B45" s="2" t="s">
        <v>55</v>
      </c>
      <c r="C45" s="4">
        <f>'2020'!AA45</f>
        <v>0</v>
      </c>
      <c r="D45" s="7">
        <f>'2020'!AB45</f>
        <v>3465</v>
      </c>
      <c r="E45" s="4">
        <f>'2021'!AA45</f>
        <v>0</v>
      </c>
      <c r="F45" s="7">
        <f>'2021'!AB45</f>
        <v>5036</v>
      </c>
      <c r="G45" s="26">
        <f>'2022'!AA45</f>
        <v>134344</v>
      </c>
      <c r="H45" s="27">
        <f>'2022'!AB45</f>
        <v>7897</v>
      </c>
    </row>
    <row r="46" spans="1:8" ht="15" thickBot="1" x14ac:dyDescent="0.35">
      <c r="A46" s="43"/>
      <c r="B46" s="1" t="s">
        <v>16</v>
      </c>
      <c r="C46" s="9">
        <f>'2020'!AA46</f>
        <v>0</v>
      </c>
      <c r="D46" s="10">
        <f>'2020'!AB46</f>
        <v>776.98</v>
      </c>
      <c r="E46" s="9">
        <f>'2021'!AA46</f>
        <v>0</v>
      </c>
      <c r="F46" s="10">
        <f>'2021'!AB46</f>
        <v>1084.6300000000001</v>
      </c>
      <c r="G46" s="29">
        <f>'2022'!AA46</f>
        <v>19564.34</v>
      </c>
      <c r="H46" s="28">
        <f>'2022'!AB46</f>
        <v>1763.8099999999997</v>
      </c>
    </row>
    <row r="47" spans="1:8" x14ac:dyDescent="0.3">
      <c r="A47" s="42" t="s">
        <v>38</v>
      </c>
      <c r="B47" s="2" t="s">
        <v>55</v>
      </c>
      <c r="C47" s="4">
        <f>'2020'!AA47</f>
        <v>0</v>
      </c>
      <c r="D47" s="27">
        <f>'2020'!AB47</f>
        <v>19634</v>
      </c>
      <c r="E47" s="26">
        <f>'2021'!AA47</f>
        <v>145419</v>
      </c>
      <c r="F47" s="27">
        <f>'2021'!AB47</f>
        <v>21079</v>
      </c>
      <c r="G47" s="26">
        <f>'2022'!AA47</f>
        <v>84106</v>
      </c>
      <c r="H47" s="27">
        <f>'2022'!AB47</f>
        <v>16929</v>
      </c>
    </row>
    <row r="48" spans="1:8" ht="15" thickBot="1" x14ac:dyDescent="0.35">
      <c r="A48" s="43"/>
      <c r="B48" s="1" t="s">
        <v>16</v>
      </c>
      <c r="C48" s="9">
        <f>'2020'!AA48</f>
        <v>0</v>
      </c>
      <c r="D48" s="28">
        <f>'2020'!AB48</f>
        <v>3533.31</v>
      </c>
      <c r="E48" s="29">
        <f>'2021'!AA48</f>
        <v>6972</v>
      </c>
      <c r="F48" s="28">
        <f>'2021'!AB48</f>
        <v>4096.04</v>
      </c>
      <c r="G48" s="29">
        <f>'2022'!AA48</f>
        <v>14986.39</v>
      </c>
      <c r="H48" s="28">
        <f>'2022'!AB48</f>
        <v>3682.92</v>
      </c>
    </row>
    <row r="49" spans="1:8" ht="15" customHeight="1" x14ac:dyDescent="0.3">
      <c r="A49" s="42" t="s">
        <v>39</v>
      </c>
      <c r="B49" s="2" t="s">
        <v>55</v>
      </c>
      <c r="C49" s="26">
        <f>'2020'!AA49</f>
        <v>287108</v>
      </c>
      <c r="D49" s="27">
        <f>'2020'!AB49</f>
        <v>46489</v>
      </c>
      <c r="E49" s="26">
        <f>'2021'!AA49</f>
        <v>532</v>
      </c>
      <c r="F49" s="27">
        <f>'2021'!AB49</f>
        <v>66619</v>
      </c>
      <c r="G49" s="26">
        <f>'2022'!AA49</f>
        <v>87</v>
      </c>
      <c r="H49" s="27">
        <f>'2022'!AB49</f>
        <v>42897</v>
      </c>
    </row>
    <row r="50" spans="1:8" ht="15" thickBot="1" x14ac:dyDescent="0.35">
      <c r="A50" s="43"/>
      <c r="B50" s="1" t="s">
        <v>16</v>
      </c>
      <c r="C50" s="29">
        <f>'2020'!AA50</f>
        <v>14066.95</v>
      </c>
      <c r="D50" s="28">
        <f>'2020'!AB50</f>
        <v>7916.8499999999985</v>
      </c>
      <c r="E50" s="29">
        <f>'2021'!AA50</f>
        <v>2390.42</v>
      </c>
      <c r="F50" s="28">
        <f>'2021'!AB50</f>
        <v>11705.020000000002</v>
      </c>
      <c r="G50" s="29">
        <f>'2022'!AA50</f>
        <v>462.28000000000003</v>
      </c>
      <c r="H50" s="28">
        <f>'2022'!AB50</f>
        <v>8336.380000000001</v>
      </c>
    </row>
    <row r="51" spans="1:8" x14ac:dyDescent="0.3">
      <c r="A51" s="42" t="s">
        <v>57</v>
      </c>
      <c r="B51" s="2" t="s">
        <v>55</v>
      </c>
      <c r="C51" s="4">
        <f>'2020'!AA51</f>
        <v>0</v>
      </c>
      <c r="D51" s="7">
        <f>'2020'!AB51</f>
        <v>7611</v>
      </c>
      <c r="E51" s="26">
        <f>'2021'!AA51</f>
        <v>2194.36</v>
      </c>
      <c r="F51" s="7">
        <f>'2021'!AB51</f>
        <v>3665</v>
      </c>
      <c r="G51" s="4">
        <f>'2022'!AA51</f>
        <v>0</v>
      </c>
      <c r="H51" s="7">
        <f>'2022'!AB51</f>
        <v>6593</v>
      </c>
    </row>
    <row r="52" spans="1:8" ht="15" thickBot="1" x14ac:dyDescent="0.35">
      <c r="A52" s="43"/>
      <c r="B52" s="1" t="s">
        <v>16</v>
      </c>
      <c r="C52" s="29">
        <f>'2020'!AA52</f>
        <v>91.139999999999986</v>
      </c>
      <c r="D52" s="10">
        <f>'2020'!AB52</f>
        <v>1438.89</v>
      </c>
      <c r="E52" s="29">
        <f>'2021'!AA52</f>
        <v>49.510000000000005</v>
      </c>
      <c r="F52" s="10">
        <f>'2021'!AB52</f>
        <v>811</v>
      </c>
      <c r="G52" s="9">
        <f>'2022'!AA52</f>
        <v>0</v>
      </c>
      <c r="H52" s="10">
        <f>'2022'!AB52</f>
        <v>1439.0500000000002</v>
      </c>
    </row>
    <row r="53" spans="1:8" ht="15" customHeight="1" x14ac:dyDescent="0.3">
      <c r="A53" s="38" t="s">
        <v>40</v>
      </c>
      <c r="B53" s="2" t="s">
        <v>55</v>
      </c>
      <c r="C53" s="4">
        <f>'2020'!AA53</f>
        <v>0</v>
      </c>
      <c r="D53" s="7">
        <f>'2020'!AB53</f>
        <v>1495</v>
      </c>
      <c r="E53" s="4">
        <f>'2021'!AA53</f>
        <v>0</v>
      </c>
      <c r="F53" s="7">
        <f>'2021'!AB53</f>
        <v>3519</v>
      </c>
      <c r="G53" s="4">
        <f>'2022'!AA53</f>
        <v>0</v>
      </c>
      <c r="H53" s="7">
        <f>'2022'!AB53</f>
        <v>3113</v>
      </c>
    </row>
    <row r="54" spans="1:8" ht="15" thickBot="1" x14ac:dyDescent="0.35">
      <c r="A54" s="39"/>
      <c r="B54" s="1" t="s">
        <v>16</v>
      </c>
      <c r="C54" s="9">
        <f>'2020'!AA54</f>
        <v>0</v>
      </c>
      <c r="D54" s="10">
        <f>'2020'!AB54</f>
        <v>378.14</v>
      </c>
      <c r="E54" s="9">
        <f>'2021'!AA54</f>
        <v>0</v>
      </c>
      <c r="F54" s="10">
        <f>'2021'!AB54</f>
        <v>801.80000000000007</v>
      </c>
      <c r="G54" s="9">
        <f>'2022'!AA54</f>
        <v>0</v>
      </c>
      <c r="H54" s="10">
        <f>'2022'!AB54</f>
        <v>702.56000000000006</v>
      </c>
    </row>
    <row r="55" spans="1:8" x14ac:dyDescent="0.3">
      <c r="A55" s="38" t="s">
        <v>41</v>
      </c>
      <c r="B55" s="2" t="s">
        <v>55</v>
      </c>
      <c r="C55" s="4">
        <f>'2020'!AA55</f>
        <v>0</v>
      </c>
      <c r="D55" s="7">
        <f>'2020'!AB55</f>
        <v>304</v>
      </c>
      <c r="E55" s="4">
        <f>'2021'!AA55</f>
        <v>0</v>
      </c>
      <c r="F55" s="7">
        <f>'2021'!AB55</f>
        <v>197</v>
      </c>
      <c r="G55" s="4">
        <f>'2022'!AA55</f>
        <v>0</v>
      </c>
      <c r="H55" s="7">
        <f>'2022'!AB55</f>
        <v>686</v>
      </c>
    </row>
    <row r="56" spans="1:8" ht="15" thickBot="1" x14ac:dyDescent="0.35">
      <c r="A56" s="39"/>
      <c r="B56" s="1" t="s">
        <v>16</v>
      </c>
      <c r="C56" s="9">
        <f>'2020'!AA56</f>
        <v>0</v>
      </c>
      <c r="D56" s="10">
        <f>'2020'!AB56</f>
        <v>185.62</v>
      </c>
      <c r="E56" s="9">
        <f>'2021'!AA56</f>
        <v>0</v>
      </c>
      <c r="F56" s="10">
        <f>'2021'!AB56</f>
        <v>249.38</v>
      </c>
      <c r="G56" s="9">
        <f>'2022'!AA56</f>
        <v>0</v>
      </c>
      <c r="H56" s="10">
        <f>'2022'!AB56</f>
        <v>453.67000000000007</v>
      </c>
    </row>
    <row r="57" spans="1:8" x14ac:dyDescent="0.3">
      <c r="A57" s="38" t="s">
        <v>42</v>
      </c>
      <c r="B57" s="2" t="s">
        <v>55</v>
      </c>
      <c r="C57" s="4">
        <f>'2020'!AA57</f>
        <v>7001</v>
      </c>
      <c r="D57" s="7">
        <f>'2020'!AB57</f>
        <v>1512</v>
      </c>
      <c r="E57" s="4">
        <f>'2021'!AA57</f>
        <v>9134</v>
      </c>
      <c r="F57" s="7">
        <f>'2021'!AB57</f>
        <v>6051</v>
      </c>
      <c r="G57" s="4">
        <f>'2022'!AA57</f>
        <v>7745</v>
      </c>
      <c r="H57" s="7">
        <f>'2022'!AB57</f>
        <v>4329</v>
      </c>
    </row>
    <row r="58" spans="1:8" ht="15" thickBot="1" x14ac:dyDescent="0.35">
      <c r="A58" s="39"/>
      <c r="B58" s="1" t="s">
        <v>16</v>
      </c>
      <c r="C58" s="9">
        <f>'2020'!AA58</f>
        <v>686.6400000000001</v>
      </c>
      <c r="D58" s="10">
        <f>'2020'!AB58</f>
        <v>505.76</v>
      </c>
      <c r="E58" s="9">
        <f>'2021'!AA58</f>
        <v>781.43</v>
      </c>
      <c r="F58" s="10">
        <f>'2021'!AB58</f>
        <v>1375.74</v>
      </c>
      <c r="G58" s="9">
        <f>'2022'!AA58</f>
        <v>1322.6399999999999</v>
      </c>
      <c r="H58" s="10">
        <f>'2022'!AB58</f>
        <v>1130.19</v>
      </c>
    </row>
    <row r="59" spans="1:8" x14ac:dyDescent="0.3">
      <c r="A59" s="42" t="s">
        <v>43</v>
      </c>
      <c r="B59" s="2" t="s">
        <v>55</v>
      </c>
      <c r="C59" s="4">
        <f>'2020'!AA59</f>
        <v>0</v>
      </c>
      <c r="D59" s="7">
        <f>'2020'!AB59</f>
        <v>87</v>
      </c>
      <c r="E59" s="26">
        <f>'2021'!AA59</f>
        <v>0</v>
      </c>
      <c r="F59" s="27">
        <f>'2021'!AB59</f>
        <v>0</v>
      </c>
      <c r="G59" s="26">
        <f>'2022'!AA59</f>
        <v>0</v>
      </c>
      <c r="H59" s="27">
        <f>'2022'!AB59</f>
        <v>0</v>
      </c>
    </row>
    <row r="60" spans="1:8" ht="15" thickBot="1" x14ac:dyDescent="0.35">
      <c r="A60" s="43"/>
      <c r="B60" s="1" t="s">
        <v>16</v>
      </c>
      <c r="C60" s="9">
        <f>'2020'!AA60</f>
        <v>0</v>
      </c>
      <c r="D60" s="10">
        <f>'2020'!AB60</f>
        <v>169.61</v>
      </c>
      <c r="E60" s="29">
        <f>'2021'!AA60</f>
        <v>0</v>
      </c>
      <c r="F60" s="28">
        <f>'2021'!AB60</f>
        <v>252.95999999999998</v>
      </c>
      <c r="G60" s="29">
        <f>'2022'!AA60</f>
        <v>0</v>
      </c>
      <c r="H60" s="28">
        <f>'2022'!AB60</f>
        <v>265.48</v>
      </c>
    </row>
    <row r="61" spans="1:8" ht="15" customHeight="1" x14ac:dyDescent="0.3">
      <c r="A61" s="38" t="s">
        <v>44</v>
      </c>
      <c r="B61" s="2" t="s">
        <v>55</v>
      </c>
      <c r="C61" s="4">
        <f>'2020'!AA61</f>
        <v>0</v>
      </c>
      <c r="D61" s="7">
        <f>'2020'!AB61</f>
        <v>248</v>
      </c>
      <c r="E61" s="4">
        <f>'2021'!AA61</f>
        <v>0</v>
      </c>
      <c r="F61" s="7">
        <f>'2021'!AB61</f>
        <v>1798</v>
      </c>
      <c r="G61" s="4">
        <f>'2022'!AA61</f>
        <v>0</v>
      </c>
      <c r="H61" s="7">
        <f>'2022'!AB61</f>
        <v>494</v>
      </c>
    </row>
    <row r="62" spans="1:8" ht="15" thickBot="1" x14ac:dyDescent="0.35">
      <c r="A62" s="39"/>
      <c r="B62" s="1" t="s">
        <v>16</v>
      </c>
      <c r="C62" s="9">
        <f>'2020'!AA62</f>
        <v>0</v>
      </c>
      <c r="D62" s="10">
        <f>'2020'!AB62</f>
        <v>203.54</v>
      </c>
      <c r="E62" s="9">
        <f>'2021'!AA62</f>
        <v>0</v>
      </c>
      <c r="F62" s="10">
        <f>'2021'!AB62</f>
        <v>397.2</v>
      </c>
      <c r="G62" s="9">
        <f>'2022'!AA62</f>
        <v>0</v>
      </c>
      <c r="H62" s="10">
        <f>'2022'!AB62</f>
        <v>320.87</v>
      </c>
    </row>
    <row r="63" spans="1:8" x14ac:dyDescent="0.3">
      <c r="A63" s="36" t="s">
        <v>45</v>
      </c>
      <c r="B63" s="2" t="s">
        <v>55</v>
      </c>
      <c r="C63" s="4">
        <f>'2020'!AA65</f>
        <v>0</v>
      </c>
      <c r="D63" s="7">
        <v>667</v>
      </c>
      <c r="E63" s="4">
        <f>'2021'!AA65</f>
        <v>0</v>
      </c>
      <c r="F63" s="7">
        <f>'2021'!AB65</f>
        <v>255</v>
      </c>
      <c r="G63" s="4">
        <f>'2022'!AA63</f>
        <v>0</v>
      </c>
      <c r="H63" s="7">
        <f>'2022'!AB63</f>
        <v>302</v>
      </c>
    </row>
    <row r="64" spans="1:8" ht="15" thickBot="1" x14ac:dyDescent="0.35">
      <c r="A64" s="37"/>
      <c r="B64" s="1" t="s">
        <v>16</v>
      </c>
      <c r="C64" s="9">
        <f>'2020'!AA66</f>
        <v>0</v>
      </c>
      <c r="D64" s="10">
        <f>'2020'!AB66</f>
        <v>106.21000000000009</v>
      </c>
      <c r="E64" s="9">
        <f>'2021'!AA66</f>
        <v>0</v>
      </c>
      <c r="F64" s="10">
        <f>'2021'!AB66</f>
        <v>321.85000000000002</v>
      </c>
      <c r="G64" s="9">
        <f>'2022'!AA64</f>
        <v>0</v>
      </c>
      <c r="H64" s="10">
        <f>'2022'!AB64</f>
        <v>307.49</v>
      </c>
    </row>
    <row r="65" spans="1:8" x14ac:dyDescent="0.3">
      <c r="A65" s="44" t="s">
        <v>1</v>
      </c>
      <c r="B65" s="46" t="s">
        <v>17</v>
      </c>
      <c r="C65" s="44"/>
      <c r="D65" s="48"/>
      <c r="E65" s="44"/>
      <c r="F65" s="48"/>
      <c r="G65" s="44"/>
      <c r="H65" s="48"/>
    </row>
    <row r="66" spans="1:8" ht="15" thickBot="1" x14ac:dyDescent="0.35">
      <c r="A66" s="45"/>
      <c r="B66" s="47"/>
      <c r="C66" s="3"/>
      <c r="D66" s="6"/>
      <c r="E66" s="3"/>
      <c r="F66" s="6"/>
      <c r="G66" s="3"/>
      <c r="H66" s="6"/>
    </row>
    <row r="67" spans="1:8" x14ac:dyDescent="0.3">
      <c r="A67" s="36" t="s">
        <v>46</v>
      </c>
      <c r="B67" s="2" t="s">
        <v>55</v>
      </c>
      <c r="C67" s="23">
        <f>'2020'!AA65</f>
        <v>0</v>
      </c>
      <c r="D67" s="25">
        <f>'2020'!AB67</f>
        <v>4793</v>
      </c>
      <c r="E67" s="4">
        <f>'2021'!AA67</f>
        <v>0</v>
      </c>
      <c r="F67" s="7">
        <f>'2021'!AB67</f>
        <v>4011</v>
      </c>
      <c r="G67" s="4">
        <f>'2022'!AA67</f>
        <v>0</v>
      </c>
      <c r="H67" s="7">
        <f>'2022'!AB67</f>
        <v>3736</v>
      </c>
    </row>
    <row r="68" spans="1:8" ht="15" thickBot="1" x14ac:dyDescent="0.35">
      <c r="A68" s="37"/>
      <c r="B68" s="1" t="s">
        <v>16</v>
      </c>
      <c r="C68" s="9">
        <f>'2020'!AA66</f>
        <v>0</v>
      </c>
      <c r="D68" s="10">
        <f>'2020'!AB68</f>
        <v>947.52</v>
      </c>
      <c r="E68" s="9">
        <f>'2021'!AA68</f>
        <v>0</v>
      </c>
      <c r="F68" s="10">
        <f>'2021'!AB68</f>
        <v>844.54</v>
      </c>
      <c r="G68" s="9">
        <f>'2022'!AA68</f>
        <v>0</v>
      </c>
      <c r="H68" s="10">
        <f>'2022'!AB68</f>
        <v>886.67000000000007</v>
      </c>
    </row>
    <row r="69" spans="1:8" ht="15" customHeight="1" x14ac:dyDescent="0.3">
      <c r="A69" s="38" t="s">
        <v>47</v>
      </c>
      <c r="B69" s="2" t="s">
        <v>55</v>
      </c>
      <c r="C69" s="4">
        <f>'2020'!AA67</f>
        <v>0</v>
      </c>
      <c r="D69" s="7">
        <f>'2020'!AB69</f>
        <v>715</v>
      </c>
      <c r="E69" s="4">
        <f>'2021'!AA69</f>
        <v>0</v>
      </c>
      <c r="F69" s="7">
        <f>'2021'!AB69</f>
        <v>389</v>
      </c>
      <c r="G69" s="4">
        <f>'2022'!AA69</f>
        <v>0</v>
      </c>
      <c r="H69" s="7">
        <f>'2022'!AB69</f>
        <v>382</v>
      </c>
    </row>
    <row r="70" spans="1:8" ht="15" thickBot="1" x14ac:dyDescent="0.35">
      <c r="A70" s="39"/>
      <c r="B70" s="1" t="s">
        <v>16</v>
      </c>
      <c r="C70" s="9">
        <f>'2020'!AA68</f>
        <v>0</v>
      </c>
      <c r="D70" s="10">
        <f>'2020'!AB70</f>
        <v>1063.19</v>
      </c>
      <c r="E70" s="9">
        <f>'2021'!AA70</f>
        <v>0</v>
      </c>
      <c r="F70" s="10">
        <f>'2021'!AB70</f>
        <v>537.11999999999989</v>
      </c>
      <c r="G70" s="9">
        <f>'2022'!AA70</f>
        <v>0</v>
      </c>
      <c r="H70" s="10">
        <f>'2022'!AB70</f>
        <v>584.05999999999995</v>
      </c>
    </row>
    <row r="71" spans="1:8" ht="15" customHeight="1" x14ac:dyDescent="0.3">
      <c r="A71" s="38" t="s">
        <v>48</v>
      </c>
      <c r="B71" s="2" t="s">
        <v>55</v>
      </c>
      <c r="C71" s="4">
        <f>'2020'!AA69</f>
        <v>0</v>
      </c>
      <c r="D71" s="7">
        <f>'2020'!AB71</f>
        <v>-441</v>
      </c>
      <c r="E71" s="4">
        <f>'2021'!AA71</f>
        <v>0</v>
      </c>
      <c r="F71" s="7">
        <f>'2021'!AB71</f>
        <v>0</v>
      </c>
      <c r="G71" s="4">
        <f>'2022'!AA71</f>
        <v>0</v>
      </c>
      <c r="H71" s="7">
        <f>'2022'!AB71</f>
        <v>24</v>
      </c>
    </row>
    <row r="72" spans="1:8" ht="15" thickBot="1" x14ac:dyDescent="0.35">
      <c r="A72" s="39"/>
      <c r="B72" s="1" t="s">
        <v>16</v>
      </c>
      <c r="C72" s="9">
        <f>'2020'!AA70</f>
        <v>0</v>
      </c>
      <c r="D72" s="10">
        <f>'2020'!AB72</f>
        <v>60.44</v>
      </c>
      <c r="E72" s="9">
        <f>'2021'!AA72</f>
        <v>0</v>
      </c>
      <c r="F72" s="10">
        <f>'2021'!AB72</f>
        <v>225.54</v>
      </c>
      <c r="G72" s="9">
        <f>'2022'!AA72</f>
        <v>0</v>
      </c>
      <c r="H72" s="10">
        <f>'2022'!AB72</f>
        <v>230.63</v>
      </c>
    </row>
    <row r="73" spans="1:8" x14ac:dyDescent="0.3">
      <c r="A73" s="42" t="s">
        <v>49</v>
      </c>
      <c r="B73" s="2" t="s">
        <v>55</v>
      </c>
      <c r="C73" s="4">
        <f>'2020'!AA71</f>
        <v>0</v>
      </c>
      <c r="D73" s="27">
        <f>'2020'!AB73</f>
        <v>49377</v>
      </c>
      <c r="E73" s="4">
        <f>'2021'!AA73</f>
        <v>0</v>
      </c>
      <c r="F73" s="7">
        <f>'2021'!AB73</f>
        <v>-29424</v>
      </c>
      <c r="G73" s="4">
        <f>'2022'!AA73</f>
        <v>0</v>
      </c>
      <c r="H73" s="7">
        <f>'2022'!AB73</f>
        <v>1074</v>
      </c>
    </row>
    <row r="74" spans="1:8" ht="15" thickBot="1" x14ac:dyDescent="0.35">
      <c r="A74" s="43"/>
      <c r="B74" s="1" t="s">
        <v>16</v>
      </c>
      <c r="C74" s="9">
        <f>'2020'!AA72</f>
        <v>0</v>
      </c>
      <c r="D74" s="28">
        <f>'2020'!AB74</f>
        <v>8775.3799999999992</v>
      </c>
      <c r="E74" s="9">
        <f>'2021'!AA74</f>
        <v>0</v>
      </c>
      <c r="F74" s="10">
        <f>'2021'!AB74</f>
        <v>-3991.5000000000005</v>
      </c>
      <c r="G74" s="9">
        <f>'2022'!AA74</f>
        <v>0</v>
      </c>
      <c r="H74" s="10">
        <f>'2022'!AB74</f>
        <v>749.73</v>
      </c>
    </row>
    <row r="75" spans="1:8" x14ac:dyDescent="0.3">
      <c r="A75" s="38" t="s">
        <v>58</v>
      </c>
      <c r="B75" s="2" t="s">
        <v>55</v>
      </c>
      <c r="C75" s="4">
        <f>'2020'!AA73</f>
        <v>0</v>
      </c>
      <c r="D75" s="7">
        <f>'2020'!AB75</f>
        <v>46</v>
      </c>
      <c r="E75" s="4">
        <f>'2021'!AA75</f>
        <v>0</v>
      </c>
      <c r="F75" s="7">
        <f>'2021'!AB75</f>
        <v>21</v>
      </c>
      <c r="G75" s="4">
        <f>'2022'!AA75</f>
        <v>0</v>
      </c>
      <c r="H75" s="7">
        <f>'2022'!AB75</f>
        <v>126</v>
      </c>
    </row>
    <row r="76" spans="1:8" ht="15" thickBot="1" x14ac:dyDescent="0.35">
      <c r="A76" s="39"/>
      <c r="B76" s="1" t="s">
        <v>16</v>
      </c>
      <c r="C76" s="9">
        <f>'2020'!AA74</f>
        <v>0</v>
      </c>
      <c r="D76" s="10">
        <f>'2020'!AB76</f>
        <v>172.31</v>
      </c>
      <c r="E76" s="9">
        <f>'2021'!AA76</f>
        <v>0</v>
      </c>
      <c r="F76" s="10">
        <f>'2021'!AB76</f>
        <v>238.45</v>
      </c>
      <c r="G76" s="9">
        <f>'2022'!AA76</f>
        <v>0</v>
      </c>
      <c r="H76" s="10">
        <f>'2022'!AB76</f>
        <v>209.36</v>
      </c>
    </row>
    <row r="77" spans="1:8" x14ac:dyDescent="0.3">
      <c r="A77" s="38" t="s">
        <v>50</v>
      </c>
      <c r="B77" s="2" t="s">
        <v>55</v>
      </c>
      <c r="C77" s="4">
        <f>'2020'!AA75</f>
        <v>0</v>
      </c>
      <c r="D77" s="7">
        <f>'2020'!AB77</f>
        <v>34</v>
      </c>
      <c r="E77" s="4">
        <f>'2021'!AA77</f>
        <v>0</v>
      </c>
      <c r="F77" s="7">
        <f>'2021'!AB77</f>
        <v>-28</v>
      </c>
      <c r="G77" s="4">
        <f>'2022'!AA77</f>
        <v>0</v>
      </c>
      <c r="H77" s="7">
        <f>'2022'!AB77</f>
        <v>0</v>
      </c>
    </row>
    <row r="78" spans="1:8" ht="15" thickBot="1" x14ac:dyDescent="0.35">
      <c r="A78" s="39"/>
      <c r="B78" s="1" t="s">
        <v>16</v>
      </c>
      <c r="C78" s="9">
        <f>'2020'!AA76</f>
        <v>0</v>
      </c>
      <c r="D78" s="10">
        <f>'2020'!AB78</f>
        <v>170.38</v>
      </c>
      <c r="E78" s="9">
        <f>'2021'!AA78</f>
        <v>0</v>
      </c>
      <c r="F78" s="10">
        <f>'2021'!AB78</f>
        <v>201.80999999999997</v>
      </c>
      <c r="G78" s="9">
        <f>'2022'!AA78</f>
        <v>0</v>
      </c>
      <c r="H78" s="10">
        <f>'2022'!AB78</f>
        <v>187.20000000000002</v>
      </c>
    </row>
    <row r="79" spans="1:8" x14ac:dyDescent="0.3">
      <c r="A79" s="38" t="s">
        <v>51</v>
      </c>
      <c r="B79" s="2" t="s">
        <v>55</v>
      </c>
      <c r="C79" s="4">
        <f>'2020'!AA77</f>
        <v>0</v>
      </c>
      <c r="D79" s="7">
        <f>'2020'!AB79</f>
        <v>4590</v>
      </c>
      <c r="E79" s="4">
        <f>'2021'!AA79</f>
        <v>0</v>
      </c>
      <c r="F79" s="7">
        <f>'2021'!AB79</f>
        <v>2654</v>
      </c>
      <c r="G79" s="4">
        <f>'2022'!AA79</f>
        <v>0</v>
      </c>
      <c r="H79" s="7">
        <f>'2022'!AB79</f>
        <v>101</v>
      </c>
    </row>
    <row r="80" spans="1:8" ht="15" thickBot="1" x14ac:dyDescent="0.35">
      <c r="A80" s="39"/>
      <c r="B80" s="1" t="s">
        <v>16</v>
      </c>
      <c r="C80" s="9">
        <f>'2020'!AA78</f>
        <v>0</v>
      </c>
      <c r="D80" s="10">
        <f>'2020'!AB80</f>
        <v>911.76</v>
      </c>
      <c r="E80" s="9">
        <f>'2021'!AA80</f>
        <v>0</v>
      </c>
      <c r="F80" s="10">
        <f>'2021'!AB80</f>
        <v>644.54000000000008</v>
      </c>
      <c r="G80" s="9">
        <f>'2022'!AA80</f>
        <v>0</v>
      </c>
      <c r="H80" s="10">
        <f>'2022'!AB80</f>
        <v>246.89000000000001</v>
      </c>
    </row>
    <row r="81" spans="1:8" x14ac:dyDescent="0.3">
      <c r="A81" s="38" t="s">
        <v>52</v>
      </c>
      <c r="B81" s="2" t="s">
        <v>55</v>
      </c>
      <c r="C81" s="4">
        <f>'2020'!AA79</f>
        <v>0</v>
      </c>
      <c r="D81" s="7">
        <f>'2020'!AB81</f>
        <v>2949</v>
      </c>
      <c r="E81" s="4">
        <f>'2021'!AA81</f>
        <v>0</v>
      </c>
      <c r="F81" s="7">
        <f>'2021'!AB81</f>
        <v>397</v>
      </c>
      <c r="G81" s="4">
        <f>'2022'!AA81</f>
        <v>0</v>
      </c>
      <c r="H81" s="7">
        <f>'2022'!AB81</f>
        <v>214</v>
      </c>
    </row>
    <row r="82" spans="1:8" ht="15" thickBot="1" x14ac:dyDescent="0.35">
      <c r="A82" s="39"/>
      <c r="B82" s="1" t="s">
        <v>16</v>
      </c>
      <c r="C82" s="9">
        <f>'2020'!AA80</f>
        <v>0</v>
      </c>
      <c r="D82" s="10">
        <f>'2020'!AB82</f>
        <v>698.66</v>
      </c>
      <c r="E82" s="9">
        <f>'2021'!AA82</f>
        <v>0</v>
      </c>
      <c r="F82" s="10">
        <f>'2021'!AB82</f>
        <v>397.29</v>
      </c>
      <c r="G82" s="9">
        <f>'2022'!AA82</f>
        <v>0</v>
      </c>
      <c r="H82" s="10">
        <f>'2022'!AB82</f>
        <v>405.35999999999996</v>
      </c>
    </row>
    <row r="83" spans="1:8" ht="15" customHeight="1" x14ac:dyDescent="0.3">
      <c r="A83" s="38" t="s">
        <v>53</v>
      </c>
      <c r="B83" s="2" t="s">
        <v>55</v>
      </c>
      <c r="C83" s="4">
        <f>'2020'!AA81</f>
        <v>0</v>
      </c>
      <c r="D83" s="7">
        <f>'2020'!AB83</f>
        <v>599</v>
      </c>
      <c r="E83" s="4">
        <f>'2021'!AA83</f>
        <v>0</v>
      </c>
      <c r="F83" s="7">
        <f>'2021'!AB83</f>
        <v>278</v>
      </c>
      <c r="G83" s="4">
        <f>'2022'!AA83</f>
        <v>0</v>
      </c>
      <c r="H83" s="7">
        <f>'2022'!AB83</f>
        <v>0</v>
      </c>
    </row>
    <row r="84" spans="1:8" ht="15" thickBot="1" x14ac:dyDescent="0.35">
      <c r="A84" s="39"/>
      <c r="B84" s="1" t="s">
        <v>16</v>
      </c>
      <c r="C84" s="9">
        <f>'2020'!AA82</f>
        <v>0</v>
      </c>
      <c r="D84" s="10">
        <f>'2020'!AB84</f>
        <v>234.36</v>
      </c>
      <c r="E84" s="9">
        <f>'2021'!AA84</f>
        <v>0</v>
      </c>
      <c r="F84" s="10">
        <f>'2021'!AB84</f>
        <v>200.81</v>
      </c>
      <c r="G84" s="9">
        <f>'2022'!AA84</f>
        <v>0</v>
      </c>
      <c r="H84" s="10">
        <f>'2022'!AB84</f>
        <v>161.80000000000001</v>
      </c>
    </row>
    <row r="85" spans="1:8" ht="15" customHeight="1" x14ac:dyDescent="0.3">
      <c r="A85" s="38" t="s">
        <v>54</v>
      </c>
      <c r="B85" s="2" t="s">
        <v>55</v>
      </c>
      <c r="C85" s="4">
        <f>'2020'!AA83</f>
        <v>0</v>
      </c>
      <c r="D85" s="7">
        <f>'2020'!AB85</f>
        <v>1240</v>
      </c>
      <c r="E85" s="4">
        <f>'2021'!AA85</f>
        <v>0</v>
      </c>
      <c r="F85" s="7">
        <f>'2021'!AB85</f>
        <v>-2834</v>
      </c>
      <c r="G85" s="4">
        <f>'2022'!AA85</f>
        <v>0</v>
      </c>
      <c r="H85" s="7">
        <f>'2022'!AB85</f>
        <v>0</v>
      </c>
    </row>
    <row r="86" spans="1:8" ht="15" thickBot="1" x14ac:dyDescent="0.35">
      <c r="A86" s="39"/>
      <c r="B86" s="1" t="s">
        <v>16</v>
      </c>
      <c r="C86" s="9">
        <f>'2020'!AA84</f>
        <v>0</v>
      </c>
      <c r="D86" s="10">
        <f>'2020'!AB86</f>
        <v>553.46</v>
      </c>
      <c r="E86" s="9">
        <f>'2021'!AA86</f>
        <v>0</v>
      </c>
      <c r="F86" s="10">
        <f>'2021'!AB86</f>
        <v>-54.660000000000053</v>
      </c>
      <c r="G86" s="9">
        <f>'2022'!AA86</f>
        <v>0</v>
      </c>
      <c r="H86" s="10">
        <f>'2022'!AB86</f>
        <v>314.16999999999996</v>
      </c>
    </row>
    <row r="87" spans="1:8" x14ac:dyDescent="0.3">
      <c r="A87" s="38" t="s">
        <v>60</v>
      </c>
      <c r="B87" s="2" t="s">
        <v>55</v>
      </c>
      <c r="C87" s="4">
        <f>'2020'!AA85</f>
        <v>0</v>
      </c>
      <c r="D87" s="7">
        <f>'2020'!AB87</f>
        <v>852</v>
      </c>
      <c r="E87" s="4">
        <f>'2021'!AA87</f>
        <v>0</v>
      </c>
      <c r="F87" s="7">
        <f>'2021'!AB87</f>
        <v>1135</v>
      </c>
      <c r="G87" s="4">
        <f>'2022'!AA87</f>
        <v>0</v>
      </c>
      <c r="H87" s="7">
        <f>'2022'!AB87</f>
        <v>489</v>
      </c>
    </row>
    <row r="88" spans="1:8" ht="15" thickBot="1" x14ac:dyDescent="0.35">
      <c r="A88" s="39"/>
      <c r="B88" s="1" t="s">
        <v>16</v>
      </c>
      <c r="C88" s="9">
        <f>'2020'!AA86</f>
        <v>0</v>
      </c>
      <c r="D88" s="10">
        <f>'2020'!AB88</f>
        <v>329.94</v>
      </c>
      <c r="E88" s="9">
        <f>'2021'!AA88</f>
        <v>0</v>
      </c>
      <c r="F88" s="10">
        <f>'2021'!AB88</f>
        <v>393.68</v>
      </c>
      <c r="G88" s="9">
        <f>'2022'!AA88</f>
        <v>0</v>
      </c>
      <c r="H88" s="10">
        <f>'2022'!AB88</f>
        <v>217.38</v>
      </c>
    </row>
    <row r="89" spans="1:8" x14ac:dyDescent="0.3">
      <c r="A89" s="36" t="s">
        <v>56</v>
      </c>
      <c r="B89" s="2" t="s">
        <v>55</v>
      </c>
      <c r="C89" s="4">
        <f>'2020'!AA87</f>
        <v>0</v>
      </c>
      <c r="D89" s="7">
        <f>'2020'!AB89</f>
        <v>25190</v>
      </c>
      <c r="E89" s="4">
        <f>'2021'!AA89</f>
        <v>0</v>
      </c>
      <c r="F89" s="7">
        <f>'2021'!AB89</f>
        <v>15319</v>
      </c>
      <c r="G89" s="4">
        <f>'2022'!AA89</f>
        <v>0</v>
      </c>
      <c r="H89" s="7">
        <f>'2022'!AB89</f>
        <v>9285</v>
      </c>
    </row>
    <row r="90" spans="1:8" ht="15" thickBot="1" x14ac:dyDescent="0.35">
      <c r="A90" s="37"/>
      <c r="B90" s="1" t="s">
        <v>16</v>
      </c>
      <c r="C90" s="9">
        <f>'2020'!AA88</f>
        <v>0</v>
      </c>
      <c r="D90" s="10">
        <f>'2020'!AB90</f>
        <v>4516.6100000000006</v>
      </c>
      <c r="E90" s="9">
        <f>'2021'!AA90</f>
        <v>0</v>
      </c>
      <c r="F90" s="10">
        <f>'2021'!AB90</f>
        <v>2810.76</v>
      </c>
      <c r="G90" s="9">
        <f>'2022'!AA90</f>
        <v>0</v>
      </c>
      <c r="H90" s="10">
        <f>'2022'!AB90</f>
        <v>2324.63</v>
      </c>
    </row>
    <row r="91" spans="1:8" x14ac:dyDescent="0.3">
      <c r="A91" s="40" t="s">
        <v>61</v>
      </c>
      <c r="B91" s="2" t="s">
        <v>55</v>
      </c>
      <c r="C91" s="4">
        <f>'2020'!AA89</f>
        <v>0</v>
      </c>
      <c r="D91" s="27">
        <f>'2020'!AB91</f>
        <v>1790</v>
      </c>
      <c r="E91" s="4">
        <f>'2021'!AA91</f>
        <v>0</v>
      </c>
      <c r="F91" s="27">
        <f>'2021'!AB91</f>
        <v>9289</v>
      </c>
      <c r="G91" s="4">
        <f>'2022'!AA91</f>
        <v>0</v>
      </c>
      <c r="H91" s="27">
        <f>'2022'!AB91</f>
        <v>61148</v>
      </c>
    </row>
    <row r="92" spans="1:8" ht="15" thickBot="1" x14ac:dyDescent="0.35">
      <c r="A92" s="41"/>
      <c r="B92" s="1" t="s">
        <v>16</v>
      </c>
      <c r="C92" s="9">
        <f>'2020'!AA90</f>
        <v>0</v>
      </c>
      <c r="D92" s="28">
        <f>'2020'!AB92</f>
        <v>550.45000000000005</v>
      </c>
      <c r="E92" s="9">
        <f>'2021'!AA92</f>
        <v>0</v>
      </c>
      <c r="F92" s="28">
        <f>'2021'!AB92</f>
        <v>1857.2399999999998</v>
      </c>
      <c r="G92" s="9">
        <f>'2022'!AA92</f>
        <v>0</v>
      </c>
      <c r="H92" s="28">
        <f>'2022'!AB92</f>
        <v>10924.29</v>
      </c>
    </row>
    <row r="93" spans="1:8" x14ac:dyDescent="0.3">
      <c r="A93" s="36" t="s">
        <v>62</v>
      </c>
      <c r="B93" s="2" t="s">
        <v>55</v>
      </c>
      <c r="C93" s="4">
        <f>'2020'!AA91</f>
        <v>0</v>
      </c>
      <c r="D93" s="7">
        <f>'2020'!AB93</f>
        <v>127</v>
      </c>
      <c r="E93" s="4">
        <f>'2021'!AA93</f>
        <v>0</v>
      </c>
      <c r="F93" s="7">
        <f>'2021'!AB93</f>
        <v>-159</v>
      </c>
      <c r="G93" s="4">
        <f>'2022'!AA93</f>
        <v>0</v>
      </c>
      <c r="H93" s="7">
        <f>'2022'!AB93</f>
        <v>215</v>
      </c>
    </row>
    <row r="94" spans="1:8" ht="15" thickBot="1" x14ac:dyDescent="0.35">
      <c r="A94" s="37"/>
      <c r="B94" s="1" t="s">
        <v>16</v>
      </c>
      <c r="C94" s="9">
        <f>'2020'!AA92</f>
        <v>0</v>
      </c>
      <c r="D94" s="10">
        <f>'2020'!AB94</f>
        <v>131.92000000000002</v>
      </c>
      <c r="E94" s="9">
        <f>'2021'!AA94</f>
        <v>0</v>
      </c>
      <c r="F94" s="10">
        <f>'2021'!AB94</f>
        <v>86.26</v>
      </c>
      <c r="G94" s="9">
        <f>'2022'!AA94</f>
        <v>0</v>
      </c>
      <c r="H94" s="10">
        <f>'2022'!AB94</f>
        <v>408.43</v>
      </c>
    </row>
    <row r="95" spans="1:8" x14ac:dyDescent="0.3">
      <c r="A95" s="40" t="s">
        <v>63</v>
      </c>
      <c r="B95" s="2" t="s">
        <v>55</v>
      </c>
      <c r="C95" s="4">
        <f>'2020'!AA93</f>
        <v>0</v>
      </c>
      <c r="D95" s="7">
        <f>'2020'!AB95</f>
        <v>0</v>
      </c>
      <c r="E95" s="26">
        <f>'2021'!AA95</f>
        <v>0</v>
      </c>
      <c r="F95" s="27">
        <f>'2021'!AB95</f>
        <v>714</v>
      </c>
      <c r="G95" s="26">
        <f>'2022'!AA95</f>
        <v>1178</v>
      </c>
      <c r="H95" s="27">
        <f>'2022'!AB95</f>
        <v>2148</v>
      </c>
    </row>
    <row r="96" spans="1:8" ht="15" thickBot="1" x14ac:dyDescent="0.35">
      <c r="A96" s="41"/>
      <c r="B96" s="1" t="s">
        <v>16</v>
      </c>
      <c r="C96" s="9">
        <f>'2020'!AA94</f>
        <v>0</v>
      </c>
      <c r="D96" s="10">
        <f>'2020'!AB96</f>
        <v>93.65</v>
      </c>
      <c r="E96" s="29">
        <f>'2021'!AA96</f>
        <v>832.58</v>
      </c>
      <c r="F96" s="28">
        <f>'2021'!AB96</f>
        <v>334.81</v>
      </c>
      <c r="G96" s="29">
        <f>'2022'!AA96</f>
        <v>1147.8899999999999</v>
      </c>
      <c r="H96" s="28">
        <f>'2022'!AB96</f>
        <v>1069.72</v>
      </c>
    </row>
    <row r="97" spans="1:8" x14ac:dyDescent="0.3">
      <c r="A97" s="36" t="s">
        <v>66</v>
      </c>
      <c r="B97" s="2" t="s">
        <v>55</v>
      </c>
      <c r="C97" s="4">
        <v>43571</v>
      </c>
      <c r="D97" s="7">
        <v>2005</v>
      </c>
      <c r="E97" s="4">
        <v>5023</v>
      </c>
      <c r="F97" s="7">
        <v>0</v>
      </c>
      <c r="G97" s="4">
        <v>0</v>
      </c>
      <c r="H97" s="7">
        <v>0</v>
      </c>
    </row>
    <row r="98" spans="1:8" ht="15" thickBot="1" x14ac:dyDescent="0.35">
      <c r="A98" s="37"/>
      <c r="B98" s="1" t="s">
        <v>16</v>
      </c>
      <c r="C98" s="9">
        <v>3413.08</v>
      </c>
      <c r="D98" s="10">
        <v>375.69</v>
      </c>
      <c r="E98" s="9">
        <v>1115.57</v>
      </c>
      <c r="F98" s="10">
        <v>0</v>
      </c>
      <c r="G98" s="9">
        <v>0</v>
      </c>
      <c r="H98" s="10">
        <v>0</v>
      </c>
    </row>
    <row r="99" spans="1:8" x14ac:dyDescent="0.3">
      <c r="A99" s="36" t="s">
        <v>82</v>
      </c>
      <c r="B99" s="2" t="s">
        <v>55</v>
      </c>
      <c r="C99" s="4">
        <v>0</v>
      </c>
      <c r="D99" s="7">
        <v>0</v>
      </c>
      <c r="E99" s="4">
        <v>5217</v>
      </c>
      <c r="F99" s="7">
        <v>1111</v>
      </c>
      <c r="G99" s="4">
        <v>0</v>
      </c>
      <c r="H99" s="7">
        <v>0</v>
      </c>
    </row>
    <row r="100" spans="1:8" ht="15" thickBot="1" x14ac:dyDescent="0.35">
      <c r="A100" s="37"/>
      <c r="B100" s="1" t="s">
        <v>16</v>
      </c>
      <c r="C100" s="9">
        <v>0</v>
      </c>
      <c r="D100" s="10">
        <v>0</v>
      </c>
      <c r="E100" s="9">
        <v>667.19</v>
      </c>
      <c r="F100" s="10">
        <v>230.79</v>
      </c>
      <c r="G100" s="9">
        <v>0</v>
      </c>
      <c r="H100" s="10">
        <v>0</v>
      </c>
    </row>
    <row r="101" spans="1:8" x14ac:dyDescent="0.3">
      <c r="A101" s="34" t="s">
        <v>64</v>
      </c>
      <c r="B101" s="13" t="s">
        <v>55</v>
      </c>
      <c r="C101" s="30">
        <f>C5+C7+C9+C11+C13+C15+C17+C19+C21+C23+C25+C27+C29+C31+C33+C35+C37+C39+C41+C43+C45+C47+C49+C51+C53+C55+C57+C59+C61+C63+C67+C69+C71+C73+C75+C77+C79+C81+C83+C85+C87+C89+C91+C93+C95+C97+C99</f>
        <v>925663</v>
      </c>
      <c r="D101" s="31">
        <f t="shared" ref="D101:H101" si="0">D5+D7+D9+D11+D13+D15+D17+D19+D21+D23+D25+D27+D29+D31+D33+D35+D37+D39+D41+D43+D45+D47+D49+D51+D53+D55+D57+D59+D61+D63+D67+D69+D71+D73+D75+D77+D79+D81+D83+D85+D87+D89+D91+D93+D95+D97+D99</f>
        <v>408461</v>
      </c>
      <c r="E101" s="30">
        <f>E5+E7+E9+E11+E13+E15+E17+E19+E21+E23+E25+E27+E29+E31+E33+E35+E37+E39+E41+E43+E45+E47+E49+E51+E53+E55+E57+E59+E61+E63+E67+E69+E71+E73+E75+E77+E79+E81+E83+E85+E87+E89+E91+E93+E95+E97+E99</f>
        <v>649816.36</v>
      </c>
      <c r="F101" s="31">
        <f t="shared" si="0"/>
        <v>380630</v>
      </c>
      <c r="G101" s="30">
        <f>G5+G7+G9+G11+G13+G15+G17+G19+G21+G23+G25+G27+G29+G31+G33+G35+G37+G39+G41+G43+G45+G47+G49+G51+G53+G55+G57+G59+G61+G63+G67+G69+G71+G73+G75+G77+G79+G81+G83+G85+G87+G89+G91+G93+G95+G97+G99</f>
        <v>554999</v>
      </c>
      <c r="H101" s="31">
        <f t="shared" si="0"/>
        <v>344000</v>
      </c>
    </row>
    <row r="102" spans="1:8" ht="15" thickBot="1" x14ac:dyDescent="0.35">
      <c r="A102" s="35"/>
      <c r="B102" s="16" t="s">
        <v>16</v>
      </c>
      <c r="C102" s="32">
        <f>C6+C8+C10+C12+C14+C16+C18+C20+C22+C24+C26+C28+C30+C32+C34+C36+C38+C40+C42+C44+C46+C48+C50+C52+C54+C56+C58+C60+C62+C64+C68+C70+C72+C74+C76+C78+C80+C82+C84+C86+C88+C90+C92+C94+C96+C98+C100</f>
        <v>52597.55</v>
      </c>
      <c r="D102" s="33">
        <f>D6+D8+D10+D12+D14+D16+D18+D20+D22+D24+D26+D28+D30+D32+D34+D36+D38+D40+D42+D44+D46+D48+D50+D52+D54+D56+D58+D60+D62+D64+D68+D70+D72+D74+D76+D78+D80+D82+D84+D86+D88+D90+D92+D94+D96+D98+D100</f>
        <v>84461.750000000015</v>
      </c>
      <c r="E102" s="32">
        <f t="shared" ref="E102:G102" si="1">E6+E8+E10+E12+E14+E16+E18+E20+E22+E24+E26+E28+E30+E32+E34+E36+E38+E40+E42+E44+E46+E48+E50+E52+E54+E56+E58+E60+E62+E64+E68+E70+E72+E74+E76+E78+E80+E82+E84+E86+E88+E90+E92+E94+E96+E98+E100</f>
        <v>45597.270000000004</v>
      </c>
      <c r="F102" s="33">
        <f>F6+F8+F10+F12+F14+F16+F18+F20+F22+F24+F26+F28+F30+F32+F34+F36+F38+F40+F42+F44+F46+F48+F50+F52+F54+F56+F58+F60+F62+F64+F68+F70+F72+F74+F76+F78+F80+F82+F84+F86+F88+F90+F92+F94+F96+F98+F100</f>
        <v>82412.079999999958</v>
      </c>
      <c r="G102" s="32">
        <f t="shared" si="1"/>
        <v>91840.12</v>
      </c>
      <c r="H102" s="33">
        <f>H6+H8+H10+H12+H14+H16+H18+H20+H22+H24+H26+H28+H30+H32+H34+H36+H38+H40+H42+H44+H46+H48+H50+H52+H54+H56+H58+H60+H62+H64+H68+H70+H72+H74+H76+H78+H80+H82+H84+H86+H88+H90+H92+H94+H96+H98+H100</f>
        <v>81251.41</v>
      </c>
    </row>
  </sheetData>
  <mergeCells count="58">
    <mergeCell ref="A3:A4"/>
    <mergeCell ref="B3:B4"/>
    <mergeCell ref="C3:D3"/>
    <mergeCell ref="E3:F3"/>
    <mergeCell ref="G3:H3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B65:B66"/>
    <mergeCell ref="C65:D65"/>
    <mergeCell ref="E65:F65"/>
    <mergeCell ref="G65:H65"/>
    <mergeCell ref="A53:A54"/>
    <mergeCell ref="A55:A56"/>
    <mergeCell ref="A57:A58"/>
    <mergeCell ref="A59:A60"/>
    <mergeCell ref="A61:A62"/>
    <mergeCell ref="A63:A64"/>
    <mergeCell ref="A83:A84"/>
    <mergeCell ref="A67:A68"/>
    <mergeCell ref="A69:A70"/>
    <mergeCell ref="A71:A72"/>
    <mergeCell ref="A65:A66"/>
    <mergeCell ref="A73:A74"/>
    <mergeCell ref="A75:A76"/>
    <mergeCell ref="A77:A78"/>
    <mergeCell ref="A79:A80"/>
    <mergeCell ref="A81:A82"/>
    <mergeCell ref="A101:A102"/>
    <mergeCell ref="A97:A98"/>
    <mergeCell ref="A99:A100"/>
    <mergeCell ref="A85:A86"/>
    <mergeCell ref="A87:A88"/>
    <mergeCell ref="A89:A90"/>
    <mergeCell ref="A91:A92"/>
    <mergeCell ref="A93:A94"/>
    <mergeCell ref="A95:A96"/>
  </mergeCells>
  <pageMargins left="0.25" right="0.25" top="0.75" bottom="0.75" header="0.3" footer="0.3"/>
  <pageSetup paperSize="8" fitToHeight="0" orientation="portrait" r:id="rId1"/>
  <headerFooter>
    <oddFooter>&amp;CConsommation électricité et gaz bâtiments communaux 2022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C1CF-4112-435C-98ED-32D04BA250A1}">
  <sheetPr>
    <pageSetUpPr fitToPage="1"/>
  </sheetPr>
  <dimension ref="A1:AB104"/>
  <sheetViews>
    <sheetView zoomScaleNormal="100" zoomScaleSheetLayoutView="80" zoomScalePageLayoutView="55" workbookViewId="0">
      <selection activeCell="AB68" sqref="AB68"/>
    </sheetView>
  </sheetViews>
  <sheetFormatPr baseColWidth="10" defaultRowHeight="14.4" x14ac:dyDescent="0.3"/>
  <cols>
    <col min="1" max="1" width="23" customWidth="1"/>
    <col min="3" max="20" width="11.88671875" customWidth="1"/>
    <col min="21" max="26" width="12.6640625" customWidth="1"/>
    <col min="27" max="28" width="13.6640625" customWidth="1"/>
  </cols>
  <sheetData>
    <row r="1" spans="1:28" ht="23.4" x14ac:dyDescent="0.4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5" thickBot="1" x14ac:dyDescent="0.35"/>
    <row r="3" spans="1:28" ht="15" thickBot="1" x14ac:dyDescent="0.35">
      <c r="A3" s="44" t="s">
        <v>1</v>
      </c>
      <c r="B3" s="46" t="s">
        <v>17</v>
      </c>
      <c r="C3" s="44" t="s">
        <v>2</v>
      </c>
      <c r="D3" s="48"/>
      <c r="E3" s="44" t="s">
        <v>3</v>
      </c>
      <c r="F3" s="48"/>
      <c r="G3" s="44" t="s">
        <v>4</v>
      </c>
      <c r="H3" s="48"/>
      <c r="I3" s="44" t="s">
        <v>5</v>
      </c>
      <c r="J3" s="48"/>
      <c r="K3" s="44" t="s">
        <v>6</v>
      </c>
      <c r="L3" s="48"/>
      <c r="M3" s="44" t="s">
        <v>7</v>
      </c>
      <c r="N3" s="48"/>
      <c r="O3" s="44" t="s">
        <v>8</v>
      </c>
      <c r="P3" s="48"/>
      <c r="Q3" s="44" t="s">
        <v>9</v>
      </c>
      <c r="R3" s="48"/>
      <c r="S3" s="44" t="s">
        <v>10</v>
      </c>
      <c r="T3" s="48"/>
      <c r="U3" s="44" t="s">
        <v>11</v>
      </c>
      <c r="V3" s="48"/>
      <c r="W3" s="44" t="s">
        <v>12</v>
      </c>
      <c r="X3" s="48"/>
      <c r="Y3" s="50" t="s">
        <v>13</v>
      </c>
      <c r="Z3" s="51"/>
      <c r="AA3" s="55" t="s">
        <v>64</v>
      </c>
      <c r="AB3" s="55"/>
    </row>
    <row r="4" spans="1:28" ht="15" thickBot="1" x14ac:dyDescent="0.35">
      <c r="A4" s="45"/>
      <c r="B4" s="47"/>
      <c r="C4" s="3" t="s">
        <v>14</v>
      </c>
      <c r="D4" s="6" t="s">
        <v>15</v>
      </c>
      <c r="E4" s="3" t="s">
        <v>14</v>
      </c>
      <c r="F4" s="6" t="s">
        <v>15</v>
      </c>
      <c r="G4" s="3" t="s">
        <v>14</v>
      </c>
      <c r="H4" s="6" t="s">
        <v>15</v>
      </c>
      <c r="I4" s="3" t="s">
        <v>14</v>
      </c>
      <c r="J4" s="6" t="s">
        <v>15</v>
      </c>
      <c r="K4" s="3" t="s">
        <v>14</v>
      </c>
      <c r="L4" s="6" t="s">
        <v>15</v>
      </c>
      <c r="M4" s="3" t="s">
        <v>14</v>
      </c>
      <c r="N4" s="6" t="s">
        <v>15</v>
      </c>
      <c r="O4" s="3" t="s">
        <v>14</v>
      </c>
      <c r="P4" s="6" t="s">
        <v>15</v>
      </c>
      <c r="Q4" s="3" t="s">
        <v>14</v>
      </c>
      <c r="R4" s="6" t="s">
        <v>15</v>
      </c>
      <c r="S4" s="3" t="s">
        <v>14</v>
      </c>
      <c r="T4" s="6" t="s">
        <v>15</v>
      </c>
      <c r="U4" s="3" t="s">
        <v>14</v>
      </c>
      <c r="V4" s="6" t="s">
        <v>15</v>
      </c>
      <c r="W4" s="3" t="s">
        <v>14</v>
      </c>
      <c r="X4" s="6" t="s">
        <v>15</v>
      </c>
      <c r="Y4" s="5" t="s">
        <v>14</v>
      </c>
      <c r="Z4" s="8" t="s">
        <v>15</v>
      </c>
      <c r="AA4" s="5" t="s">
        <v>14</v>
      </c>
      <c r="AB4" s="8" t="s">
        <v>15</v>
      </c>
    </row>
    <row r="5" spans="1:28" ht="18.75" customHeight="1" thickBot="1" x14ac:dyDescent="0.35">
      <c r="A5" s="36" t="s">
        <v>59</v>
      </c>
      <c r="B5" s="2" t="s">
        <v>55</v>
      </c>
      <c r="C5" s="4"/>
      <c r="D5" s="7"/>
      <c r="E5" s="4"/>
      <c r="F5" s="7">
        <v>1420</v>
      </c>
      <c r="G5" s="4">
        <v>54872</v>
      </c>
      <c r="H5" s="7"/>
      <c r="I5" s="4">
        <v>21645</v>
      </c>
      <c r="J5" s="7">
        <v>1622</v>
      </c>
      <c r="K5" s="4"/>
      <c r="L5" s="7"/>
      <c r="M5" s="4">
        <v>27511</v>
      </c>
      <c r="N5" s="7">
        <v>819</v>
      </c>
      <c r="O5" s="4"/>
      <c r="P5" s="7"/>
      <c r="Q5" s="4"/>
      <c r="R5" s="7">
        <v>1040</v>
      </c>
      <c r="S5" s="4">
        <v>16208</v>
      </c>
      <c r="T5" s="7"/>
      <c r="U5" s="4"/>
      <c r="V5" s="7">
        <f>1363</f>
        <v>1363</v>
      </c>
      <c r="W5" s="4">
        <v>9378</v>
      </c>
      <c r="X5" s="7"/>
      <c r="Y5" s="4"/>
      <c r="Z5" s="7">
        <f>49+1461+9</f>
        <v>1519</v>
      </c>
      <c r="AA5" s="4">
        <f>C5+E5+G5+I5+K5+M5+O5+Q5+S5+U5+W5+Y5</f>
        <v>129614</v>
      </c>
      <c r="AB5" s="7">
        <f>D5+F5+H5+J5+L5+N5+P5+R5+T5+V5+X5+Z5</f>
        <v>7783</v>
      </c>
    </row>
    <row r="6" spans="1:28" ht="18.75" customHeight="1" thickBot="1" x14ac:dyDescent="0.35">
      <c r="A6" s="37"/>
      <c r="B6" s="1" t="s">
        <v>16</v>
      </c>
      <c r="C6" s="9"/>
      <c r="D6" s="10"/>
      <c r="E6" s="9"/>
      <c r="F6" s="10">
        <v>268.79000000000002</v>
      </c>
      <c r="G6" s="9">
        <v>2769.21</v>
      </c>
      <c r="H6" s="10"/>
      <c r="I6" s="9">
        <v>1301.94</v>
      </c>
      <c r="J6" s="10">
        <v>307.51</v>
      </c>
      <c r="K6" s="9"/>
      <c r="L6" s="10"/>
      <c r="M6" s="9">
        <v>1560.21</v>
      </c>
      <c r="N6" s="10">
        <v>176.5</v>
      </c>
      <c r="O6" s="9"/>
      <c r="P6" s="10"/>
      <c r="Q6" s="9"/>
      <c r="R6" s="10">
        <v>215.9</v>
      </c>
      <c r="S6" s="9">
        <v>1109.93</v>
      </c>
      <c r="T6" s="10"/>
      <c r="U6" s="9"/>
      <c r="V6" s="10">
        <f>270.2</f>
        <v>270.2</v>
      </c>
      <c r="W6" s="9">
        <v>727.51</v>
      </c>
      <c r="X6" s="10"/>
      <c r="Y6" s="9"/>
      <c r="Z6" s="10">
        <f>34+286.38+29.87</f>
        <v>350.25</v>
      </c>
      <c r="AA6" s="11">
        <f t="shared" ref="AA6:AB62" si="0">C6+E6+G6+I6+K6+M6+O6+Q6+S6+U6+W6+Y6</f>
        <v>7468.8000000000011</v>
      </c>
      <c r="AB6" s="12">
        <f t="shared" si="0"/>
        <v>1589.1499999999999</v>
      </c>
    </row>
    <row r="7" spans="1:28" ht="18.75" customHeight="1" thickBot="1" x14ac:dyDescent="0.35">
      <c r="A7" s="36" t="s">
        <v>18</v>
      </c>
      <c r="B7" s="2" t="s">
        <v>55</v>
      </c>
      <c r="C7" s="4"/>
      <c r="D7" s="7">
        <v>1245</v>
      </c>
      <c r="E7" s="4"/>
      <c r="F7" s="7">
        <v>232</v>
      </c>
      <c r="G7" s="4"/>
      <c r="H7" s="7">
        <v>175</v>
      </c>
      <c r="I7" s="4" t="s">
        <v>72</v>
      </c>
      <c r="J7" s="7">
        <v>401</v>
      </c>
      <c r="K7" s="4"/>
      <c r="L7" s="7">
        <v>386</v>
      </c>
      <c r="M7" s="4"/>
      <c r="N7" s="7">
        <v>402</v>
      </c>
      <c r="O7" s="4"/>
      <c r="P7" s="7">
        <v>388</v>
      </c>
      <c r="Q7" s="4"/>
      <c r="R7" s="7">
        <v>436</v>
      </c>
      <c r="S7" s="4"/>
      <c r="T7" s="7">
        <v>419</v>
      </c>
      <c r="U7" s="4"/>
      <c r="V7" s="7">
        <v>177</v>
      </c>
      <c r="W7" s="4"/>
      <c r="X7" s="7">
        <v>278</v>
      </c>
      <c r="Y7" s="4"/>
      <c r="Z7" s="7">
        <v>342</v>
      </c>
      <c r="AA7" s="4">
        <v>0</v>
      </c>
      <c r="AB7" s="7">
        <f t="shared" si="0"/>
        <v>4881</v>
      </c>
    </row>
    <row r="8" spans="1:28" ht="18.75" customHeight="1" thickBot="1" x14ac:dyDescent="0.35">
      <c r="A8" s="37"/>
      <c r="B8" s="1" t="s">
        <v>16</v>
      </c>
      <c r="C8" s="9"/>
      <c r="D8" s="10">
        <v>417.13</v>
      </c>
      <c r="E8" s="9"/>
      <c r="F8" s="10">
        <v>523.46</v>
      </c>
      <c r="G8" s="9"/>
      <c r="H8" s="10">
        <v>236.32</v>
      </c>
      <c r="I8" s="9"/>
      <c r="J8" s="10">
        <v>284.29000000000002</v>
      </c>
      <c r="K8" s="9"/>
      <c r="L8" s="10">
        <v>258.16000000000003</v>
      </c>
      <c r="M8" s="9"/>
      <c r="N8" s="10">
        <v>266.02</v>
      </c>
      <c r="O8" s="9"/>
      <c r="P8" s="10">
        <v>258.38</v>
      </c>
      <c r="Q8" s="9"/>
      <c r="R8" s="10">
        <v>276.10000000000002</v>
      </c>
      <c r="S8" s="9"/>
      <c r="T8" s="10">
        <v>273.31</v>
      </c>
      <c r="U8" s="9"/>
      <c r="V8" s="10">
        <v>237.26</v>
      </c>
      <c r="W8" s="9"/>
      <c r="X8" s="10">
        <v>263.20999999999998</v>
      </c>
      <c r="Y8" s="9"/>
      <c r="Z8" s="10">
        <v>282.18</v>
      </c>
      <c r="AA8" s="11">
        <f t="shared" si="0"/>
        <v>0</v>
      </c>
      <c r="AB8" s="12">
        <f t="shared" si="0"/>
        <v>3575.82</v>
      </c>
    </row>
    <row r="9" spans="1:28" ht="18.75" customHeight="1" thickBot="1" x14ac:dyDescent="0.35">
      <c r="A9" s="36" t="s">
        <v>19</v>
      </c>
      <c r="B9" s="2" t="s">
        <v>55</v>
      </c>
      <c r="C9" s="4"/>
      <c r="D9" s="7"/>
      <c r="E9" s="4">
        <v>59659</v>
      </c>
      <c r="F9" s="7">
        <v>1110</v>
      </c>
      <c r="G9" s="4"/>
      <c r="H9" s="7">
        <v>1339</v>
      </c>
      <c r="I9" s="4"/>
      <c r="J9" s="7">
        <v>1193</v>
      </c>
      <c r="K9" s="4">
        <v>27802</v>
      </c>
      <c r="L9" s="7">
        <v>794</v>
      </c>
      <c r="M9" s="4"/>
      <c r="N9" s="7">
        <v>620</v>
      </c>
      <c r="O9" s="4"/>
      <c r="P9" s="7">
        <v>426</v>
      </c>
      <c r="Q9" s="4">
        <v>9229</v>
      </c>
      <c r="R9" s="7">
        <v>503</v>
      </c>
      <c r="S9" s="4"/>
      <c r="T9" s="7">
        <v>448</v>
      </c>
      <c r="U9" s="4"/>
      <c r="V9" s="7">
        <v>546</v>
      </c>
      <c r="W9" s="4">
        <v>31242</v>
      </c>
      <c r="X9" s="7">
        <v>728</v>
      </c>
      <c r="Y9" s="4"/>
      <c r="Z9" s="7">
        <v>1037</v>
      </c>
      <c r="AA9" s="4">
        <f t="shared" si="0"/>
        <v>127932</v>
      </c>
      <c r="AB9" s="7">
        <f t="shared" si="0"/>
        <v>8744</v>
      </c>
    </row>
    <row r="10" spans="1:28" ht="18.75" customHeight="1" thickBot="1" x14ac:dyDescent="0.35">
      <c r="A10" s="37"/>
      <c r="B10" s="1" t="s">
        <v>16</v>
      </c>
      <c r="C10" s="9"/>
      <c r="D10" s="10"/>
      <c r="E10" s="9">
        <v>3304.55</v>
      </c>
      <c r="F10" s="10">
        <v>388.06</v>
      </c>
      <c r="G10" s="9"/>
      <c r="H10" s="10">
        <v>429.25</v>
      </c>
      <c r="I10" s="9"/>
      <c r="J10" s="10">
        <v>385.57</v>
      </c>
      <c r="K10" s="9">
        <v>1569.63</v>
      </c>
      <c r="L10" s="10">
        <v>275</v>
      </c>
      <c r="M10" s="9"/>
      <c r="N10" s="10">
        <v>261.24</v>
      </c>
      <c r="O10" s="9"/>
      <c r="P10" s="10">
        <v>221.86</v>
      </c>
      <c r="Q10" s="9">
        <v>1086.42</v>
      </c>
      <c r="R10" s="10">
        <v>245.63</v>
      </c>
      <c r="S10" s="9"/>
      <c r="T10" s="10">
        <v>237.94</v>
      </c>
      <c r="U10" s="9"/>
      <c r="V10" s="10">
        <v>246.34</v>
      </c>
      <c r="W10" s="9">
        <v>1730.74</v>
      </c>
      <c r="X10" s="10">
        <v>282.5</v>
      </c>
      <c r="Y10" s="9"/>
      <c r="Z10" s="10">
        <v>371.1</v>
      </c>
      <c r="AA10" s="11">
        <f t="shared" si="0"/>
        <v>7691.34</v>
      </c>
      <c r="AB10" s="12">
        <f t="shared" si="0"/>
        <v>3344.4900000000002</v>
      </c>
    </row>
    <row r="11" spans="1:28" ht="18.75" customHeight="1" thickBot="1" x14ac:dyDescent="0.35">
      <c r="A11" s="36" t="s">
        <v>20</v>
      </c>
      <c r="B11" s="2" t="s">
        <v>55</v>
      </c>
      <c r="C11" s="4"/>
      <c r="D11" s="7"/>
      <c r="E11" s="4"/>
      <c r="F11" s="7">
        <v>3324</v>
      </c>
      <c r="G11" s="4"/>
      <c r="H11" s="7"/>
      <c r="I11" s="4"/>
      <c r="J11" s="7">
        <v>3411</v>
      </c>
      <c r="K11" s="4"/>
      <c r="L11" s="7"/>
      <c r="M11" s="4"/>
      <c r="N11" s="7">
        <v>3306</v>
      </c>
      <c r="O11" s="4"/>
      <c r="P11" s="7"/>
      <c r="Q11" s="4"/>
      <c r="R11" s="7">
        <v>-492</v>
      </c>
      <c r="S11" s="4"/>
      <c r="T11" s="7"/>
      <c r="U11" s="4"/>
      <c r="V11" s="7">
        <v>2828</v>
      </c>
      <c r="W11" s="4"/>
      <c r="X11" s="7"/>
      <c r="Y11" s="4"/>
      <c r="Z11" s="7">
        <v>0</v>
      </c>
      <c r="AA11" s="4">
        <f t="shared" si="0"/>
        <v>0</v>
      </c>
      <c r="AB11" s="7">
        <f t="shared" si="0"/>
        <v>12377</v>
      </c>
    </row>
    <row r="12" spans="1:28" ht="18.75" customHeight="1" thickBot="1" x14ac:dyDescent="0.35">
      <c r="A12" s="37"/>
      <c r="B12" s="1" t="s">
        <v>16</v>
      </c>
      <c r="C12" s="9"/>
      <c r="D12" s="10"/>
      <c r="E12" s="9"/>
      <c r="F12" s="10">
        <v>583.65</v>
      </c>
      <c r="G12" s="9"/>
      <c r="H12" s="10"/>
      <c r="I12" s="9"/>
      <c r="J12" s="10">
        <v>608.04999999999995</v>
      </c>
      <c r="K12" s="9"/>
      <c r="L12" s="10"/>
      <c r="M12" s="9"/>
      <c r="N12" s="10">
        <v>590.94000000000005</v>
      </c>
      <c r="O12" s="9"/>
      <c r="P12" s="10"/>
      <c r="Q12" s="9"/>
      <c r="R12" s="10">
        <v>-24.3</v>
      </c>
      <c r="S12" s="9"/>
      <c r="T12" s="10"/>
      <c r="U12" s="9"/>
      <c r="V12" s="10">
        <v>520.87</v>
      </c>
      <c r="W12" s="9"/>
      <c r="X12" s="10"/>
      <c r="Y12" s="9"/>
      <c r="Z12" s="10">
        <v>47.39</v>
      </c>
      <c r="AA12" s="11">
        <f t="shared" si="0"/>
        <v>0</v>
      </c>
      <c r="AB12" s="12">
        <f t="shared" si="0"/>
        <v>2326.6</v>
      </c>
    </row>
    <row r="13" spans="1:28" ht="18.75" customHeight="1" thickBot="1" x14ac:dyDescent="0.35">
      <c r="A13" s="38" t="s">
        <v>21</v>
      </c>
      <c r="B13" s="2" t="s">
        <v>55</v>
      </c>
      <c r="C13" s="4"/>
      <c r="D13" s="7">
        <v>5681</v>
      </c>
      <c r="E13" s="4"/>
      <c r="F13" s="7">
        <v>7458</v>
      </c>
      <c r="G13" s="4"/>
      <c r="H13" s="7">
        <v>16116</v>
      </c>
      <c r="I13" s="4"/>
      <c r="J13" s="7">
        <v>0</v>
      </c>
      <c r="K13" s="4"/>
      <c r="L13" s="7">
        <v>6652</v>
      </c>
      <c r="M13" s="4"/>
      <c r="N13" s="7">
        <f>0</f>
        <v>0</v>
      </c>
      <c r="O13" s="4"/>
      <c r="P13" s="7">
        <v>6223</v>
      </c>
      <c r="Q13" s="4"/>
      <c r="R13" s="7">
        <v>0</v>
      </c>
      <c r="S13" s="4"/>
      <c r="T13" s="7"/>
      <c r="U13" s="4"/>
      <c r="V13" s="7">
        <v>0</v>
      </c>
      <c r="W13" s="4"/>
      <c r="X13" s="7">
        <v>3754</v>
      </c>
      <c r="Y13" s="4"/>
      <c r="Z13" s="7">
        <v>5785</v>
      </c>
      <c r="AA13" s="4">
        <f t="shared" si="0"/>
        <v>0</v>
      </c>
      <c r="AB13" s="7">
        <f t="shared" si="0"/>
        <v>51669</v>
      </c>
    </row>
    <row r="14" spans="1:28" ht="18.75" customHeight="1" thickBot="1" x14ac:dyDescent="0.35">
      <c r="A14" s="54"/>
      <c r="B14" s="1" t="s">
        <v>16</v>
      </c>
      <c r="C14" s="9"/>
      <c r="D14" s="10">
        <v>952.3</v>
      </c>
      <c r="E14" s="9"/>
      <c r="F14" s="10">
        <v>1260.5</v>
      </c>
      <c r="G14" s="9"/>
      <c r="H14" s="10">
        <v>2617.0300000000002</v>
      </c>
      <c r="I14" s="9"/>
      <c r="J14" s="10">
        <v>67.900000000000006</v>
      </c>
      <c r="K14" s="9"/>
      <c r="L14" s="10">
        <v>1137.06</v>
      </c>
      <c r="M14" s="9"/>
      <c r="N14" s="10">
        <f>67.9</f>
        <v>67.900000000000006</v>
      </c>
      <c r="O14" s="9"/>
      <c r="P14" s="10">
        <v>1067.05</v>
      </c>
      <c r="Q14" s="9"/>
      <c r="R14" s="10">
        <v>62.25</v>
      </c>
      <c r="S14" s="9"/>
      <c r="T14" s="10"/>
      <c r="U14" s="9"/>
      <c r="V14" s="10">
        <v>86.16</v>
      </c>
      <c r="W14" s="9"/>
      <c r="X14" s="10">
        <v>672.91</v>
      </c>
      <c r="Y14" s="9"/>
      <c r="Z14" s="10">
        <v>1025.55</v>
      </c>
      <c r="AA14" s="11">
        <f t="shared" si="0"/>
        <v>0</v>
      </c>
      <c r="AB14" s="12">
        <f t="shared" si="0"/>
        <v>9016.6099999999988</v>
      </c>
    </row>
    <row r="15" spans="1:28" ht="18.75" customHeight="1" thickBot="1" x14ac:dyDescent="0.35">
      <c r="A15" s="36" t="s">
        <v>22</v>
      </c>
      <c r="B15" s="2" t="s">
        <v>55</v>
      </c>
      <c r="C15" s="4"/>
      <c r="D15" s="7"/>
      <c r="E15" s="4">
        <v>75734</v>
      </c>
      <c r="F15" s="7">
        <v>3730</v>
      </c>
      <c r="G15" s="4"/>
      <c r="H15" s="7"/>
      <c r="I15" s="4"/>
      <c r="J15" s="7">
        <v>4722</v>
      </c>
      <c r="K15" s="4">
        <v>46195</v>
      </c>
      <c r="L15" s="7"/>
      <c r="M15" s="4"/>
      <c r="N15" s="7">
        <v>4418</v>
      </c>
      <c r="O15" s="4">
        <v>53063</v>
      </c>
      <c r="P15" s="7"/>
      <c r="Q15" s="4"/>
      <c r="R15" s="7">
        <v>-3970</v>
      </c>
      <c r="S15" s="4"/>
      <c r="T15" s="7"/>
      <c r="U15" s="4"/>
      <c r="V15" s="7">
        <v>2792</v>
      </c>
      <c r="W15" s="4">
        <v>64509</v>
      </c>
      <c r="X15" s="7"/>
      <c r="Y15" s="4"/>
      <c r="Z15" s="7">
        <v>3148</v>
      </c>
      <c r="AA15" s="4">
        <f t="shared" si="0"/>
        <v>239501</v>
      </c>
      <c r="AB15" s="7">
        <f t="shared" si="0"/>
        <v>14840</v>
      </c>
    </row>
    <row r="16" spans="1:28" ht="18.75" customHeight="1" thickBot="1" x14ac:dyDescent="0.35">
      <c r="A16" s="37"/>
      <c r="B16" s="1" t="s">
        <v>16</v>
      </c>
      <c r="C16" s="9"/>
      <c r="D16" s="10"/>
      <c r="E16" s="9">
        <v>4322.2700000000004</v>
      </c>
      <c r="F16" s="10">
        <v>653.26</v>
      </c>
      <c r="G16" s="9"/>
      <c r="H16" s="10"/>
      <c r="I16" s="9"/>
      <c r="J16" s="10">
        <v>830.28</v>
      </c>
      <c r="K16" s="9">
        <v>2563.8000000000002</v>
      </c>
      <c r="L16" s="10"/>
      <c r="M16" s="9"/>
      <c r="N16" s="10">
        <v>780.67</v>
      </c>
      <c r="O16" s="9">
        <v>3167.59</v>
      </c>
      <c r="P16" s="10"/>
      <c r="Q16" s="9"/>
      <c r="R16" s="10">
        <v>-583.14</v>
      </c>
      <c r="S16" s="9"/>
      <c r="T16" s="10"/>
      <c r="U16" s="9"/>
      <c r="V16" s="10">
        <v>523.66999999999996</v>
      </c>
      <c r="W16" s="9">
        <v>3518.28</v>
      </c>
      <c r="X16" s="10"/>
      <c r="Y16" s="9"/>
      <c r="Z16" s="10">
        <v>582.57000000000005</v>
      </c>
      <c r="AA16" s="11">
        <f t="shared" si="0"/>
        <v>13571.94</v>
      </c>
      <c r="AB16" s="12">
        <f t="shared" si="0"/>
        <v>2787.3100000000004</v>
      </c>
    </row>
    <row r="17" spans="1:28" ht="18.75" customHeight="1" thickBot="1" x14ac:dyDescent="0.35">
      <c r="A17" s="36" t="s">
        <v>23</v>
      </c>
      <c r="B17" s="2" t="s">
        <v>55</v>
      </c>
      <c r="C17" s="4"/>
      <c r="D17" s="7">
        <f>11471</f>
        <v>11471</v>
      </c>
      <c r="E17" s="4"/>
      <c r="F17" s="7"/>
      <c r="G17" s="4"/>
      <c r="H17" s="7">
        <v>11841</v>
      </c>
      <c r="I17" s="4"/>
      <c r="J17" s="7"/>
      <c r="K17" s="4"/>
      <c r="L17" s="7">
        <v>9698</v>
      </c>
      <c r="M17" s="4"/>
      <c r="N17" s="7"/>
      <c r="O17" s="4"/>
      <c r="P17" s="7">
        <v>10730</v>
      </c>
      <c r="Q17" s="4"/>
      <c r="R17" s="7"/>
      <c r="S17" s="4"/>
      <c r="T17" s="7">
        <v>10712</v>
      </c>
      <c r="U17" s="4"/>
      <c r="V17" s="7"/>
      <c r="W17" s="4"/>
      <c r="X17" s="7">
        <v>10644</v>
      </c>
      <c r="Y17" s="4"/>
      <c r="Z17" s="7"/>
      <c r="AA17" s="4">
        <f t="shared" si="0"/>
        <v>0</v>
      </c>
      <c r="AB17" s="7">
        <f t="shared" si="0"/>
        <v>65096</v>
      </c>
    </row>
    <row r="18" spans="1:28" ht="18.75" customHeight="1" thickBot="1" x14ac:dyDescent="0.35">
      <c r="A18" s="37"/>
      <c r="B18" s="1" t="s">
        <v>16</v>
      </c>
      <c r="C18" s="9"/>
      <c r="D18" s="10">
        <v>1879.69</v>
      </c>
      <c r="E18" s="9"/>
      <c r="F18" s="10"/>
      <c r="G18" s="9"/>
      <c r="H18" s="10">
        <v>1951.75</v>
      </c>
      <c r="I18" s="9"/>
      <c r="J18" s="10"/>
      <c r="K18" s="9"/>
      <c r="L18" s="10">
        <v>1642.47</v>
      </c>
      <c r="M18" s="9"/>
      <c r="N18" s="10"/>
      <c r="O18" s="9"/>
      <c r="P18" s="10">
        <v>1810.92</v>
      </c>
      <c r="Q18" s="9"/>
      <c r="R18" s="10"/>
      <c r="S18" s="9"/>
      <c r="T18" s="10">
        <v>1811.14</v>
      </c>
      <c r="U18" s="9"/>
      <c r="V18" s="10"/>
      <c r="W18" s="9"/>
      <c r="X18" s="10">
        <v>1814.53</v>
      </c>
      <c r="Y18" s="9"/>
      <c r="Z18" s="10"/>
      <c r="AA18" s="11">
        <f t="shared" si="0"/>
        <v>0</v>
      </c>
      <c r="AB18" s="12">
        <f t="shared" si="0"/>
        <v>10910.5</v>
      </c>
    </row>
    <row r="19" spans="1:28" ht="18.75" customHeight="1" thickBot="1" x14ac:dyDescent="0.35">
      <c r="A19" s="38" t="s">
        <v>70</v>
      </c>
      <c r="B19" s="2" t="s">
        <v>55</v>
      </c>
      <c r="C19" s="4"/>
      <c r="D19" s="7"/>
      <c r="E19" s="4"/>
      <c r="F19" s="7"/>
      <c r="G19" s="4"/>
      <c r="H19" s="7"/>
      <c r="I19" s="4">
        <v>22730</v>
      </c>
      <c r="J19" s="7"/>
      <c r="K19" s="4"/>
      <c r="L19" s="7"/>
      <c r="M19" s="4"/>
      <c r="N19" s="7"/>
      <c r="O19" s="4">
        <v>8247</v>
      </c>
      <c r="P19" s="7"/>
      <c r="Q19" s="4"/>
      <c r="R19" s="7"/>
      <c r="S19" s="4"/>
      <c r="T19" s="7"/>
      <c r="U19" s="4">
        <v>1890</v>
      </c>
      <c r="V19" s="7"/>
      <c r="W19" s="4"/>
      <c r="X19" s="7"/>
      <c r="Y19" s="4"/>
      <c r="Z19" s="7"/>
      <c r="AA19" s="4">
        <f t="shared" si="0"/>
        <v>32867</v>
      </c>
      <c r="AB19" s="7">
        <f t="shared" si="0"/>
        <v>0</v>
      </c>
    </row>
    <row r="20" spans="1:28" ht="18.75" customHeight="1" thickBot="1" x14ac:dyDescent="0.35">
      <c r="A20" s="39"/>
      <c r="B20" s="1" t="s">
        <v>16</v>
      </c>
      <c r="C20" s="9"/>
      <c r="D20" s="10"/>
      <c r="E20" s="9"/>
      <c r="F20" s="10"/>
      <c r="G20" s="9"/>
      <c r="H20" s="10"/>
      <c r="I20" s="9">
        <v>1221.7</v>
      </c>
      <c r="J20" s="10"/>
      <c r="K20" s="9"/>
      <c r="L20" s="10"/>
      <c r="M20" s="9"/>
      <c r="N20" s="10"/>
      <c r="O20" s="9">
        <v>581.20000000000005</v>
      </c>
      <c r="P20" s="10"/>
      <c r="Q20" s="9"/>
      <c r="R20" s="10"/>
      <c r="S20" s="9"/>
      <c r="T20" s="10"/>
      <c r="U20" s="9">
        <v>300.32</v>
      </c>
      <c r="V20" s="10"/>
      <c r="W20" s="9"/>
      <c r="X20" s="10"/>
      <c r="Y20" s="9"/>
      <c r="Z20" s="10"/>
      <c r="AA20" s="11">
        <f t="shared" si="0"/>
        <v>2103.2200000000003</v>
      </c>
      <c r="AB20" s="12">
        <f t="shared" si="0"/>
        <v>0</v>
      </c>
    </row>
    <row r="21" spans="1:28" ht="18.75" customHeight="1" thickBot="1" x14ac:dyDescent="0.35">
      <c r="A21" s="36" t="s">
        <v>25</v>
      </c>
      <c r="B21" s="2" t="s">
        <v>55</v>
      </c>
      <c r="C21" s="4"/>
      <c r="D21" s="7">
        <f>2109-666</f>
        <v>1443</v>
      </c>
      <c r="E21" s="4"/>
      <c r="F21" s="7"/>
      <c r="G21" s="4"/>
      <c r="H21" s="7">
        <f>4446+54</f>
        <v>4500</v>
      </c>
      <c r="I21" s="4"/>
      <c r="J21" s="7"/>
      <c r="K21" s="4"/>
      <c r="L21" s="7">
        <f>2150+32</f>
        <v>2182</v>
      </c>
      <c r="M21" s="4"/>
      <c r="N21" s="7"/>
      <c r="O21" s="4"/>
      <c r="P21" s="7">
        <f>2180+42</f>
        <v>2222</v>
      </c>
      <c r="Q21" s="4"/>
      <c r="R21" s="7"/>
      <c r="S21" s="4"/>
      <c r="T21" s="7">
        <f>294+50</f>
        <v>344</v>
      </c>
      <c r="U21" s="4"/>
      <c r="V21" s="7"/>
      <c r="W21" s="4"/>
      <c r="X21" s="7">
        <f>1705+20</f>
        <v>1725</v>
      </c>
      <c r="Y21" s="4"/>
      <c r="Z21" s="7"/>
      <c r="AA21" s="4">
        <f t="shared" si="0"/>
        <v>0</v>
      </c>
      <c r="AB21" s="7">
        <f t="shared" si="0"/>
        <v>12416</v>
      </c>
    </row>
    <row r="22" spans="1:28" ht="18.75" customHeight="1" thickBot="1" x14ac:dyDescent="0.35">
      <c r="A22" s="37"/>
      <c r="B22" s="1" t="s">
        <v>16</v>
      </c>
      <c r="C22" s="9"/>
      <c r="D22" s="10">
        <f>361.06-79.45</f>
        <v>281.61</v>
      </c>
      <c r="E22" s="9"/>
      <c r="F22" s="10"/>
      <c r="G22" s="9"/>
      <c r="H22" s="10">
        <f>735.59+35.35</f>
        <v>770.94</v>
      </c>
      <c r="I22" s="9"/>
      <c r="J22" s="10"/>
      <c r="K22" s="9"/>
      <c r="L22" s="10">
        <f>378.07+32.34</f>
        <v>410.40999999999997</v>
      </c>
      <c r="M22" s="9"/>
      <c r="N22" s="10"/>
      <c r="O22" s="9"/>
      <c r="P22" s="10">
        <f>382.95+33.99</f>
        <v>416.94</v>
      </c>
      <c r="Q22" s="9"/>
      <c r="R22" s="10"/>
      <c r="S22" s="9"/>
      <c r="T22" s="10">
        <f>75.85+36.06</f>
        <v>111.91</v>
      </c>
      <c r="U22" s="9"/>
      <c r="V22" s="10"/>
      <c r="W22" s="9"/>
      <c r="X22" s="10">
        <f>308.58+31.62</f>
        <v>340.2</v>
      </c>
      <c r="Y22" s="9"/>
      <c r="Z22" s="10"/>
      <c r="AA22" s="11">
        <f t="shared" si="0"/>
        <v>0</v>
      </c>
      <c r="AB22" s="12">
        <f t="shared" si="0"/>
        <v>2332.0100000000002</v>
      </c>
    </row>
    <row r="23" spans="1:28" ht="18.75" customHeight="1" thickBot="1" x14ac:dyDescent="0.35">
      <c r="A23" s="36" t="s">
        <v>26</v>
      </c>
      <c r="B23" s="2" t="s">
        <v>55</v>
      </c>
      <c r="C23" s="4"/>
      <c r="D23" s="7"/>
      <c r="E23" s="4"/>
      <c r="F23" s="7">
        <v>39</v>
      </c>
      <c r="G23" s="4"/>
      <c r="H23" s="7"/>
      <c r="I23" s="4"/>
      <c r="J23" s="7">
        <v>45</v>
      </c>
      <c r="K23" s="4"/>
      <c r="L23" s="7"/>
      <c r="M23" s="4"/>
      <c r="N23" s="7">
        <v>23</v>
      </c>
      <c r="O23" s="4"/>
      <c r="P23" s="7"/>
      <c r="Q23" s="4"/>
      <c r="R23" s="7">
        <v>29</v>
      </c>
      <c r="S23" s="4"/>
      <c r="T23" s="7"/>
      <c r="U23" s="4"/>
      <c r="V23" s="7">
        <v>-165</v>
      </c>
      <c r="W23" s="4"/>
      <c r="X23" s="7"/>
      <c r="Y23" s="4"/>
      <c r="Z23" s="7">
        <v>5</v>
      </c>
      <c r="AA23" s="4">
        <f t="shared" si="0"/>
        <v>0</v>
      </c>
      <c r="AB23" s="7">
        <f t="shared" si="0"/>
        <v>-24</v>
      </c>
    </row>
    <row r="24" spans="1:28" ht="18.75" customHeight="1" thickBot="1" x14ac:dyDescent="0.35">
      <c r="A24" s="37"/>
      <c r="B24" s="1" t="s">
        <v>16</v>
      </c>
      <c r="C24" s="9"/>
      <c r="D24" s="10"/>
      <c r="E24" s="9"/>
      <c r="F24" s="10">
        <v>48.15</v>
      </c>
      <c r="G24" s="9"/>
      <c r="H24" s="10"/>
      <c r="I24" s="9"/>
      <c r="J24" s="10">
        <v>50.1</v>
      </c>
      <c r="K24" s="9"/>
      <c r="L24" s="10"/>
      <c r="M24" s="9"/>
      <c r="N24" s="10">
        <v>46.55</v>
      </c>
      <c r="O24" s="9"/>
      <c r="P24" s="10"/>
      <c r="Q24" s="9"/>
      <c r="R24" s="10">
        <v>48.11</v>
      </c>
      <c r="S24" s="9"/>
      <c r="T24" s="10"/>
      <c r="U24" s="9"/>
      <c r="V24" s="10">
        <v>18.91</v>
      </c>
      <c r="W24" s="9"/>
      <c r="X24" s="10"/>
      <c r="Y24" s="9"/>
      <c r="Z24" s="10">
        <v>43.53</v>
      </c>
      <c r="AA24" s="11">
        <f t="shared" si="0"/>
        <v>0</v>
      </c>
      <c r="AB24" s="12">
        <f t="shared" si="0"/>
        <v>255.35000000000002</v>
      </c>
    </row>
    <row r="25" spans="1:28" ht="18.75" customHeight="1" thickBot="1" x14ac:dyDescent="0.35">
      <c r="A25" s="36" t="s">
        <v>27</v>
      </c>
      <c r="B25" s="2" t="s">
        <v>55</v>
      </c>
      <c r="C25" s="4">
        <v>14281</v>
      </c>
      <c r="D25" s="7"/>
      <c r="E25" s="4"/>
      <c r="F25" s="7">
        <v>127</v>
      </c>
      <c r="G25" s="4"/>
      <c r="H25" s="7"/>
      <c r="I25" s="4">
        <v>21750</v>
      </c>
      <c r="J25" s="7">
        <v>145</v>
      </c>
      <c r="K25" s="4"/>
      <c r="L25" s="7"/>
      <c r="M25" s="4"/>
      <c r="N25" s="7">
        <v>73</v>
      </c>
      <c r="O25" s="4">
        <v>9336</v>
      </c>
      <c r="P25" s="7"/>
      <c r="Q25" s="4"/>
      <c r="R25" s="7">
        <v>93</v>
      </c>
      <c r="S25" s="4"/>
      <c r="T25" s="7"/>
      <c r="U25" s="4"/>
      <c r="V25" s="7">
        <v>28</v>
      </c>
      <c r="W25" s="4"/>
      <c r="X25" s="7"/>
      <c r="Y25" s="4"/>
      <c r="Z25" s="7">
        <v>141</v>
      </c>
      <c r="AA25" s="4">
        <f t="shared" si="0"/>
        <v>45367</v>
      </c>
      <c r="AB25" s="7">
        <f t="shared" si="0"/>
        <v>607</v>
      </c>
    </row>
    <row r="26" spans="1:28" ht="18.75" customHeight="1" thickBot="1" x14ac:dyDescent="0.35">
      <c r="A26" s="37"/>
      <c r="B26" s="1" t="s">
        <v>16</v>
      </c>
      <c r="C26" s="9">
        <v>780.71</v>
      </c>
      <c r="D26" s="10"/>
      <c r="E26" s="9"/>
      <c r="F26" s="10">
        <v>62.15</v>
      </c>
      <c r="G26" s="9"/>
      <c r="H26" s="10"/>
      <c r="I26" s="9">
        <v>1175.1600000000001</v>
      </c>
      <c r="J26" s="10">
        <v>66.42</v>
      </c>
      <c r="K26" s="9"/>
      <c r="L26" s="10"/>
      <c r="M26" s="9"/>
      <c r="N26" s="10">
        <v>54.7</v>
      </c>
      <c r="O26" s="9">
        <v>545.39</v>
      </c>
      <c r="P26" s="10"/>
      <c r="Q26" s="9"/>
      <c r="R26" s="10">
        <v>58.57</v>
      </c>
      <c r="S26" s="9"/>
      <c r="T26" s="10"/>
      <c r="U26" s="9"/>
      <c r="V26" s="10">
        <v>50.66</v>
      </c>
      <c r="W26" s="9"/>
      <c r="X26" s="10"/>
      <c r="Y26" s="9"/>
      <c r="Z26" s="10">
        <v>69.33</v>
      </c>
      <c r="AA26" s="11">
        <f t="shared" si="0"/>
        <v>2501.2600000000002</v>
      </c>
      <c r="AB26" s="12">
        <f t="shared" si="0"/>
        <v>361.83</v>
      </c>
    </row>
    <row r="27" spans="1:28" ht="18.75" customHeight="1" thickBot="1" x14ac:dyDescent="0.35">
      <c r="A27" s="36" t="s">
        <v>28</v>
      </c>
      <c r="B27" s="2" t="s">
        <v>55</v>
      </c>
      <c r="C27" s="4"/>
      <c r="D27" s="7">
        <v>4115</v>
      </c>
      <c r="E27" s="4"/>
      <c r="F27" s="7"/>
      <c r="G27" s="4"/>
      <c r="H27" s="7">
        <v>4262</v>
      </c>
      <c r="I27" s="4"/>
      <c r="J27" s="7"/>
      <c r="K27" s="4"/>
      <c r="L27" s="7">
        <v>0</v>
      </c>
      <c r="M27" s="4"/>
      <c r="N27" s="7"/>
      <c r="O27" s="4"/>
      <c r="P27" s="7">
        <v>8140</v>
      </c>
      <c r="Q27" s="4"/>
      <c r="R27" s="7"/>
      <c r="S27" s="4"/>
      <c r="T27" s="7">
        <v>3783</v>
      </c>
      <c r="U27" s="4"/>
      <c r="V27" s="7"/>
      <c r="W27" s="4"/>
      <c r="X27" s="7">
        <v>0</v>
      </c>
      <c r="Y27" s="4"/>
      <c r="Z27" s="7"/>
      <c r="AA27" s="4">
        <f t="shared" si="0"/>
        <v>0</v>
      </c>
      <c r="AB27" s="7">
        <f t="shared" si="0"/>
        <v>20300</v>
      </c>
    </row>
    <row r="28" spans="1:28" ht="18.75" customHeight="1" thickBot="1" x14ac:dyDescent="0.35">
      <c r="A28" s="37"/>
      <c r="B28" s="1" t="s">
        <v>16</v>
      </c>
      <c r="C28" s="9"/>
      <c r="D28" s="10">
        <v>703.86</v>
      </c>
      <c r="E28" s="9"/>
      <c r="F28" s="10"/>
      <c r="G28" s="9"/>
      <c r="H28" s="10">
        <v>740.81</v>
      </c>
      <c r="I28" s="9"/>
      <c r="J28" s="10"/>
      <c r="K28" s="9"/>
      <c r="L28" s="10">
        <v>43.57</v>
      </c>
      <c r="M28" s="9"/>
      <c r="N28" s="10"/>
      <c r="O28" s="9"/>
      <c r="P28" s="10">
        <v>1387.8</v>
      </c>
      <c r="Q28" s="9"/>
      <c r="R28" s="10"/>
      <c r="S28" s="9"/>
      <c r="T28" s="10">
        <v>675.01</v>
      </c>
      <c r="U28" s="9"/>
      <c r="V28" s="10"/>
      <c r="W28" s="9"/>
      <c r="X28" s="10">
        <v>47.39</v>
      </c>
      <c r="Y28" s="9"/>
      <c r="Z28" s="10"/>
      <c r="AA28" s="11">
        <f t="shared" si="0"/>
        <v>0</v>
      </c>
      <c r="AB28" s="12">
        <f t="shared" si="0"/>
        <v>3598.44</v>
      </c>
    </row>
    <row r="29" spans="1:28" ht="18.75" customHeight="1" thickBot="1" x14ac:dyDescent="0.35">
      <c r="A29" s="36" t="s">
        <v>29</v>
      </c>
      <c r="B29" s="2" t="s">
        <v>55</v>
      </c>
      <c r="C29" s="4"/>
      <c r="D29" s="7">
        <v>838</v>
      </c>
      <c r="E29" s="4">
        <v>4370</v>
      </c>
      <c r="F29" s="7"/>
      <c r="G29" s="4"/>
      <c r="H29" s="7">
        <v>868</v>
      </c>
      <c r="I29" s="4"/>
      <c r="J29" s="7"/>
      <c r="K29" s="4">
        <v>3619</v>
      </c>
      <c r="L29" s="7">
        <v>0</v>
      </c>
      <c r="M29" s="4"/>
      <c r="N29" s="7"/>
      <c r="O29" s="4"/>
      <c r="P29" s="7">
        <v>1657</v>
      </c>
      <c r="Q29" s="4">
        <v>2108</v>
      </c>
      <c r="R29" s="7"/>
      <c r="S29" s="4"/>
      <c r="T29" s="7">
        <v>770</v>
      </c>
      <c r="U29" s="4"/>
      <c r="V29" s="7"/>
      <c r="W29" s="4">
        <v>2605</v>
      </c>
      <c r="X29" s="7">
        <v>282</v>
      </c>
      <c r="Y29" s="4"/>
      <c r="Z29" s="7"/>
      <c r="AA29" s="4">
        <f t="shared" si="0"/>
        <v>12702</v>
      </c>
      <c r="AB29" s="7">
        <f t="shared" si="0"/>
        <v>4415</v>
      </c>
    </row>
    <row r="30" spans="1:28" ht="18.75" customHeight="1" thickBot="1" x14ac:dyDescent="0.35">
      <c r="A30" s="37"/>
      <c r="B30" s="1" t="s">
        <v>16</v>
      </c>
      <c r="C30" s="9"/>
      <c r="D30" s="10">
        <v>183.53</v>
      </c>
      <c r="E30" s="9">
        <v>304.04000000000002</v>
      </c>
      <c r="F30" s="10"/>
      <c r="G30" s="9"/>
      <c r="H30" s="10">
        <v>191.41</v>
      </c>
      <c r="I30" s="9"/>
      <c r="J30" s="10"/>
      <c r="K30" s="9">
        <v>269.8</v>
      </c>
      <c r="L30" s="10">
        <v>43.57</v>
      </c>
      <c r="M30" s="9"/>
      <c r="N30" s="10"/>
      <c r="O30" s="9"/>
      <c r="P30" s="10">
        <v>329.63</v>
      </c>
      <c r="Q30" s="9">
        <v>203.58</v>
      </c>
      <c r="R30" s="10"/>
      <c r="S30" s="9"/>
      <c r="T30" s="10">
        <v>180.78</v>
      </c>
      <c r="U30" s="9"/>
      <c r="V30" s="10"/>
      <c r="W30" s="9">
        <v>225.76</v>
      </c>
      <c r="X30" s="10">
        <v>102.27</v>
      </c>
      <c r="Y30" s="9"/>
      <c r="Z30" s="10"/>
      <c r="AA30" s="11">
        <f t="shared" si="0"/>
        <v>1003.1800000000001</v>
      </c>
      <c r="AB30" s="12">
        <f t="shared" si="0"/>
        <v>1031.19</v>
      </c>
    </row>
    <row r="31" spans="1:28" ht="18.75" customHeight="1" thickBot="1" x14ac:dyDescent="0.35">
      <c r="A31" s="36" t="s">
        <v>30</v>
      </c>
      <c r="B31" s="2" t="s">
        <v>55</v>
      </c>
      <c r="C31" s="4"/>
      <c r="D31" s="7">
        <v>1516</v>
      </c>
      <c r="E31" s="4"/>
      <c r="F31" s="7"/>
      <c r="G31" s="4"/>
      <c r="H31" s="7">
        <v>3459</v>
      </c>
      <c r="I31" s="4"/>
      <c r="J31" s="7"/>
      <c r="K31" s="4"/>
      <c r="L31" s="7">
        <v>1303</v>
      </c>
      <c r="M31" s="4"/>
      <c r="N31" s="7"/>
      <c r="O31" s="4"/>
      <c r="P31" s="7">
        <v>1321</v>
      </c>
      <c r="Q31" s="4"/>
      <c r="R31" s="7"/>
      <c r="S31" s="4"/>
      <c r="T31" s="7">
        <v>-787</v>
      </c>
      <c r="U31" s="4"/>
      <c r="V31" s="7"/>
      <c r="W31" s="4"/>
      <c r="X31" s="7">
        <v>889</v>
      </c>
      <c r="Y31" s="4"/>
      <c r="Z31" s="7"/>
      <c r="AA31" s="4">
        <f t="shared" si="0"/>
        <v>0</v>
      </c>
      <c r="AB31" s="7">
        <f t="shared" si="0"/>
        <v>7701</v>
      </c>
    </row>
    <row r="32" spans="1:28" ht="18.75" customHeight="1" thickBot="1" x14ac:dyDescent="0.35">
      <c r="A32" s="37"/>
      <c r="B32" s="1" t="s">
        <v>16</v>
      </c>
      <c r="C32" s="9"/>
      <c r="D32" s="10">
        <v>307.7</v>
      </c>
      <c r="E32" s="9"/>
      <c r="F32" s="10"/>
      <c r="G32" s="9"/>
      <c r="H32" s="10">
        <v>618.9</v>
      </c>
      <c r="I32" s="9"/>
      <c r="J32" s="10"/>
      <c r="K32" s="9"/>
      <c r="L32" s="10">
        <v>280.57</v>
      </c>
      <c r="M32" s="9"/>
      <c r="N32" s="10"/>
      <c r="O32" s="9"/>
      <c r="P32" s="10">
        <v>283.51</v>
      </c>
      <c r="Q32" s="9"/>
      <c r="R32" s="10"/>
      <c r="S32" s="9"/>
      <c r="T32" s="10">
        <v>-56.83</v>
      </c>
      <c r="U32" s="9"/>
      <c r="V32" s="10"/>
      <c r="W32" s="9"/>
      <c r="X32" s="10">
        <v>220.27</v>
      </c>
      <c r="Y32" s="9"/>
      <c r="Z32" s="10"/>
      <c r="AA32" s="11">
        <f t="shared" si="0"/>
        <v>0</v>
      </c>
      <c r="AB32" s="12">
        <f t="shared" si="0"/>
        <v>1654.12</v>
      </c>
    </row>
    <row r="33" spans="1:28" ht="18.75" customHeight="1" thickBot="1" x14ac:dyDescent="0.35">
      <c r="A33" s="36" t="s">
        <v>31</v>
      </c>
      <c r="B33" s="2" t="s">
        <v>55</v>
      </c>
      <c r="C33" s="4"/>
      <c r="D33" s="7"/>
      <c r="E33" s="4"/>
      <c r="F33" s="7">
        <v>702</v>
      </c>
      <c r="G33" s="4"/>
      <c r="H33" s="7"/>
      <c r="I33" s="4"/>
      <c r="J33" s="7">
        <v>2366</v>
      </c>
      <c r="K33" s="4"/>
      <c r="L33" s="7"/>
      <c r="M33" s="4"/>
      <c r="N33" s="7">
        <v>2119</v>
      </c>
      <c r="O33" s="4"/>
      <c r="P33" s="7"/>
      <c r="Q33" s="4"/>
      <c r="R33" s="7">
        <v>-3127</v>
      </c>
      <c r="S33" s="4"/>
      <c r="T33" s="7"/>
      <c r="U33" s="4"/>
      <c r="V33" s="7">
        <v>538</v>
      </c>
      <c r="W33" s="4"/>
      <c r="X33" s="7"/>
      <c r="Y33" s="4"/>
      <c r="Z33" s="7">
        <v>555</v>
      </c>
      <c r="AA33" s="4">
        <f t="shared" si="0"/>
        <v>0</v>
      </c>
      <c r="AB33" s="7">
        <f t="shared" si="0"/>
        <v>3153</v>
      </c>
    </row>
    <row r="34" spans="1:28" ht="18.75" customHeight="1" thickBot="1" x14ac:dyDescent="0.35">
      <c r="A34" s="37"/>
      <c r="B34" s="1" t="s">
        <v>16</v>
      </c>
      <c r="C34" s="9"/>
      <c r="D34" s="10"/>
      <c r="E34" s="9"/>
      <c r="F34" s="10">
        <v>201.11</v>
      </c>
      <c r="G34" s="9"/>
      <c r="H34" s="10"/>
      <c r="I34" s="9"/>
      <c r="J34" s="10">
        <v>474.42</v>
      </c>
      <c r="K34" s="9"/>
      <c r="L34" s="10"/>
      <c r="M34" s="9"/>
      <c r="N34" s="10">
        <v>380.54</v>
      </c>
      <c r="O34" s="9"/>
      <c r="P34" s="10"/>
      <c r="Q34" s="9"/>
      <c r="R34" s="10">
        <v>-437.58</v>
      </c>
      <c r="S34" s="9"/>
      <c r="T34" s="10"/>
      <c r="U34" s="9"/>
      <c r="V34" s="10">
        <v>159.79</v>
      </c>
      <c r="W34" s="9"/>
      <c r="X34" s="10"/>
      <c r="Y34" s="9"/>
      <c r="Z34" s="10">
        <v>169.42</v>
      </c>
      <c r="AA34" s="11">
        <f t="shared" si="0"/>
        <v>0</v>
      </c>
      <c r="AB34" s="12">
        <f t="shared" si="0"/>
        <v>947.69999999999993</v>
      </c>
    </row>
    <row r="35" spans="1:28" ht="18.75" customHeight="1" thickBot="1" x14ac:dyDescent="0.35">
      <c r="A35" s="38" t="s">
        <v>32</v>
      </c>
      <c r="B35" s="2" t="s">
        <v>55</v>
      </c>
      <c r="C35" s="4"/>
      <c r="D35" s="7"/>
      <c r="E35" s="4"/>
      <c r="F35" s="7"/>
      <c r="G35" s="4"/>
      <c r="H35" s="7"/>
      <c r="I35" s="4"/>
      <c r="J35" s="7"/>
      <c r="K35" s="4"/>
      <c r="L35" s="7"/>
      <c r="M35" s="4"/>
      <c r="N35" s="7"/>
      <c r="O35" s="4"/>
      <c r="P35" s="7"/>
      <c r="Q35" s="4"/>
      <c r="R35" s="7"/>
      <c r="S35" s="4"/>
      <c r="T35" s="7"/>
      <c r="U35" s="4"/>
      <c r="V35" s="7"/>
      <c r="W35" s="4"/>
      <c r="X35" s="7"/>
      <c r="Y35" s="4"/>
      <c r="Z35" s="7"/>
      <c r="AA35" s="4">
        <f t="shared" si="0"/>
        <v>0</v>
      </c>
      <c r="AB35" s="7">
        <f t="shared" si="0"/>
        <v>0</v>
      </c>
    </row>
    <row r="36" spans="1:28" ht="18.75" customHeight="1" thickBot="1" x14ac:dyDescent="0.35">
      <c r="A36" s="39"/>
      <c r="B36" s="1" t="s">
        <v>16</v>
      </c>
      <c r="C36" s="9"/>
      <c r="D36" s="10"/>
      <c r="E36" s="9"/>
      <c r="F36" s="10"/>
      <c r="G36" s="9"/>
      <c r="H36" s="10"/>
      <c r="I36" s="9"/>
      <c r="J36" s="10"/>
      <c r="K36" s="9"/>
      <c r="L36" s="10"/>
      <c r="M36" s="9"/>
      <c r="N36" s="10"/>
      <c r="O36" s="9"/>
      <c r="P36" s="10"/>
      <c r="Q36" s="9"/>
      <c r="R36" s="10"/>
      <c r="S36" s="9"/>
      <c r="T36" s="10"/>
      <c r="U36" s="9"/>
      <c r="V36" s="10"/>
      <c r="W36" s="9"/>
      <c r="X36" s="10"/>
      <c r="Y36" s="9"/>
      <c r="Z36" s="10"/>
      <c r="AA36" s="11">
        <f t="shared" si="0"/>
        <v>0</v>
      </c>
      <c r="AB36" s="12">
        <f t="shared" si="0"/>
        <v>0</v>
      </c>
    </row>
    <row r="37" spans="1:28" ht="18.75" customHeight="1" thickBot="1" x14ac:dyDescent="0.35">
      <c r="A37" s="38" t="s">
        <v>33</v>
      </c>
      <c r="B37" s="2" t="s">
        <v>55</v>
      </c>
      <c r="C37" s="4"/>
      <c r="D37" s="7">
        <v>268</v>
      </c>
      <c r="E37" s="4"/>
      <c r="F37" s="7"/>
      <c r="G37" s="4"/>
      <c r="H37" s="7">
        <v>538</v>
      </c>
      <c r="I37" s="4"/>
      <c r="J37" s="7"/>
      <c r="K37" s="4"/>
      <c r="L37" s="7">
        <v>312</v>
      </c>
      <c r="M37" s="4"/>
      <c r="N37" s="7"/>
      <c r="O37" s="4"/>
      <c r="P37" s="7">
        <v>302</v>
      </c>
      <c r="Q37" s="4"/>
      <c r="R37" s="7"/>
      <c r="S37" s="4"/>
      <c r="T37" s="7">
        <v>187</v>
      </c>
      <c r="U37" s="4"/>
      <c r="V37" s="7"/>
      <c r="W37" s="4"/>
      <c r="X37" s="7">
        <v>279</v>
      </c>
      <c r="Y37" s="4"/>
      <c r="Z37" s="7"/>
      <c r="AA37" s="4">
        <f t="shared" si="0"/>
        <v>0</v>
      </c>
      <c r="AB37" s="7">
        <f t="shared" si="0"/>
        <v>1886</v>
      </c>
    </row>
    <row r="38" spans="1:28" ht="18.75" customHeight="1" thickBot="1" x14ac:dyDescent="0.35">
      <c r="A38" s="39"/>
      <c r="B38" s="1" t="s">
        <v>16</v>
      </c>
      <c r="C38" s="9"/>
      <c r="D38" s="10">
        <v>68.84</v>
      </c>
      <c r="E38" s="9"/>
      <c r="F38" s="10"/>
      <c r="G38" s="9"/>
      <c r="H38" s="10">
        <v>112.86</v>
      </c>
      <c r="I38" s="9"/>
      <c r="J38" s="10"/>
      <c r="K38" s="9"/>
      <c r="L38" s="10">
        <v>78.040000000000006</v>
      </c>
      <c r="M38" s="9"/>
      <c r="N38" s="10"/>
      <c r="O38" s="9"/>
      <c r="P38" s="10">
        <v>76.44</v>
      </c>
      <c r="Q38" s="9"/>
      <c r="R38" s="10"/>
      <c r="S38" s="9"/>
      <c r="T38" s="10">
        <v>58.47</v>
      </c>
      <c r="U38" s="9"/>
      <c r="V38" s="10"/>
      <c r="W38" s="9"/>
      <c r="X38" s="10">
        <v>74.28</v>
      </c>
      <c r="Y38" s="9"/>
      <c r="Z38" s="10"/>
      <c r="AA38" s="11">
        <f t="shared" si="0"/>
        <v>0</v>
      </c>
      <c r="AB38" s="12">
        <f t="shared" si="0"/>
        <v>468.92999999999995</v>
      </c>
    </row>
    <row r="39" spans="1:28" ht="18.75" customHeight="1" thickBot="1" x14ac:dyDescent="0.35">
      <c r="A39" s="38" t="s">
        <v>34</v>
      </c>
      <c r="B39" s="2" t="s">
        <v>55</v>
      </c>
      <c r="C39" s="4"/>
      <c r="D39" s="7"/>
      <c r="E39" s="4"/>
      <c r="F39" s="7"/>
      <c r="G39" s="4"/>
      <c r="H39" s="7"/>
      <c r="I39" s="4"/>
      <c r="J39" s="7"/>
      <c r="K39" s="4"/>
      <c r="L39" s="7"/>
      <c r="M39" s="4"/>
      <c r="N39" s="7"/>
      <c r="O39" s="4"/>
      <c r="P39" s="7"/>
      <c r="Q39" s="4"/>
      <c r="R39" s="7"/>
      <c r="S39" s="4"/>
      <c r="T39" s="7"/>
      <c r="U39" s="4"/>
      <c r="V39" s="7"/>
      <c r="W39" s="4"/>
      <c r="X39" s="7"/>
      <c r="Y39" s="4"/>
      <c r="Z39" s="7"/>
      <c r="AA39" s="4">
        <f t="shared" si="0"/>
        <v>0</v>
      </c>
      <c r="AB39" s="7">
        <f t="shared" si="0"/>
        <v>0</v>
      </c>
    </row>
    <row r="40" spans="1:28" ht="18.75" customHeight="1" thickBot="1" x14ac:dyDescent="0.35">
      <c r="A40" s="39"/>
      <c r="B40" s="1" t="s">
        <v>16</v>
      </c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11">
        <f t="shared" si="0"/>
        <v>0</v>
      </c>
      <c r="AB40" s="12">
        <f t="shared" si="0"/>
        <v>0</v>
      </c>
    </row>
    <row r="41" spans="1:28" ht="18.75" customHeight="1" thickBot="1" x14ac:dyDescent="0.35">
      <c r="A41" s="38" t="s">
        <v>35</v>
      </c>
      <c r="B41" s="2" t="s">
        <v>55</v>
      </c>
      <c r="C41" s="4"/>
      <c r="D41" s="7">
        <v>4521</v>
      </c>
      <c r="E41" s="4"/>
      <c r="F41" s="7"/>
      <c r="G41" s="4"/>
      <c r="H41" s="7">
        <v>2741</v>
      </c>
      <c r="I41" s="4"/>
      <c r="J41" s="7"/>
      <c r="K41" s="4"/>
      <c r="L41" s="7">
        <v>3167</v>
      </c>
      <c r="M41" s="4"/>
      <c r="N41" s="7"/>
      <c r="O41" s="4"/>
      <c r="P41" s="7">
        <v>3504</v>
      </c>
      <c r="Q41" s="4"/>
      <c r="R41" s="7"/>
      <c r="S41" s="4"/>
      <c r="T41" s="7"/>
      <c r="U41" s="4"/>
      <c r="V41" s="7"/>
      <c r="W41" s="4"/>
      <c r="X41" s="7">
        <v>2647</v>
      </c>
      <c r="Y41" s="4"/>
      <c r="Z41" s="7"/>
      <c r="AA41" s="4">
        <f t="shared" si="0"/>
        <v>0</v>
      </c>
      <c r="AB41" s="7">
        <f t="shared" si="0"/>
        <v>16580</v>
      </c>
    </row>
    <row r="42" spans="1:28" ht="18.75" customHeight="1" thickBot="1" x14ac:dyDescent="0.35">
      <c r="A42" s="39"/>
      <c r="B42" s="1" t="s">
        <v>16</v>
      </c>
      <c r="C42" s="9"/>
      <c r="D42" s="10">
        <v>768.15</v>
      </c>
      <c r="E42" s="9"/>
      <c r="F42" s="10"/>
      <c r="G42" s="9"/>
      <c r="H42" s="10">
        <v>489.85</v>
      </c>
      <c r="I42" s="9"/>
      <c r="J42" s="10"/>
      <c r="K42" s="9"/>
      <c r="L42" s="10">
        <v>568.24</v>
      </c>
      <c r="M42" s="9"/>
      <c r="N42" s="10"/>
      <c r="O42" s="9"/>
      <c r="P42" s="10">
        <v>623.26</v>
      </c>
      <c r="Q42" s="9"/>
      <c r="R42" s="10"/>
      <c r="S42" s="9"/>
      <c r="T42" s="10"/>
      <c r="U42" s="9"/>
      <c r="V42" s="10"/>
      <c r="W42" s="9"/>
      <c r="X42" s="10">
        <v>491.09</v>
      </c>
      <c r="Y42" s="9"/>
      <c r="Z42" s="10"/>
      <c r="AA42" s="11">
        <f t="shared" si="0"/>
        <v>0</v>
      </c>
      <c r="AB42" s="12">
        <f t="shared" si="0"/>
        <v>2940.59</v>
      </c>
    </row>
    <row r="43" spans="1:28" ht="18.75" customHeight="1" thickBot="1" x14ac:dyDescent="0.35">
      <c r="A43" s="38" t="s">
        <v>36</v>
      </c>
      <c r="B43" s="2" t="s">
        <v>55</v>
      </c>
      <c r="C43" s="4"/>
      <c r="D43" s="7">
        <v>148</v>
      </c>
      <c r="E43" s="4"/>
      <c r="F43" s="7"/>
      <c r="G43" s="4"/>
      <c r="H43" s="7">
        <v>185</v>
      </c>
      <c r="I43" s="4"/>
      <c r="J43" s="7"/>
      <c r="K43" s="4"/>
      <c r="L43" s="7">
        <v>116</v>
      </c>
      <c r="M43" s="4"/>
      <c r="N43" s="7"/>
      <c r="O43" s="4"/>
      <c r="P43" s="7">
        <v>152</v>
      </c>
      <c r="Q43" s="4"/>
      <c r="R43" s="7"/>
      <c r="S43" s="4"/>
      <c r="T43" s="7"/>
      <c r="U43" s="4"/>
      <c r="V43" s="7"/>
      <c r="W43" s="4"/>
      <c r="X43" s="7">
        <v>10</v>
      </c>
      <c r="Y43" s="4"/>
      <c r="Z43" s="7"/>
      <c r="AA43" s="4">
        <f t="shared" si="0"/>
        <v>0</v>
      </c>
      <c r="AB43" s="7">
        <f t="shared" si="0"/>
        <v>611</v>
      </c>
    </row>
    <row r="44" spans="1:28" ht="18.75" customHeight="1" thickBot="1" x14ac:dyDescent="0.35">
      <c r="A44" s="39"/>
      <c r="B44" s="1" t="s">
        <v>16</v>
      </c>
      <c r="C44" s="9"/>
      <c r="D44" s="10">
        <v>90.54</v>
      </c>
      <c r="E44" s="9"/>
      <c r="F44" s="10"/>
      <c r="G44" s="9"/>
      <c r="H44" s="10">
        <v>97.9</v>
      </c>
      <c r="I44" s="9"/>
      <c r="J44" s="10"/>
      <c r="K44" s="9"/>
      <c r="L44" s="10">
        <v>86.84</v>
      </c>
      <c r="M44" s="9"/>
      <c r="N44" s="10"/>
      <c r="O44" s="9"/>
      <c r="P44" s="10">
        <v>92.7</v>
      </c>
      <c r="Q44" s="9"/>
      <c r="R44" s="10"/>
      <c r="S44" s="9"/>
      <c r="T44" s="10"/>
      <c r="U44" s="9"/>
      <c r="V44" s="10"/>
      <c r="W44" s="9"/>
      <c r="X44" s="10">
        <v>75.84</v>
      </c>
      <c r="Y44" s="9"/>
      <c r="Z44" s="10"/>
      <c r="AA44" s="11">
        <f t="shared" si="0"/>
        <v>0</v>
      </c>
      <c r="AB44" s="12">
        <f t="shared" si="0"/>
        <v>443.81999999999994</v>
      </c>
    </row>
    <row r="45" spans="1:28" ht="18.75" customHeight="1" thickBot="1" x14ac:dyDescent="0.35">
      <c r="A45" s="38" t="s">
        <v>77</v>
      </c>
      <c r="B45" s="2" t="s">
        <v>55</v>
      </c>
      <c r="C45" s="4"/>
      <c r="D45" s="7">
        <v>702</v>
      </c>
      <c r="E45" s="4"/>
      <c r="F45" s="7"/>
      <c r="G45" s="4"/>
      <c r="H45" s="7">
        <v>727</v>
      </c>
      <c r="I45" s="4"/>
      <c r="J45" s="7"/>
      <c r="K45" s="4"/>
      <c r="L45" s="7">
        <v>0</v>
      </c>
      <c r="M45" s="4"/>
      <c r="N45" s="7"/>
      <c r="O45" s="4"/>
      <c r="P45" s="7">
        <v>1390</v>
      </c>
      <c r="Q45" s="4"/>
      <c r="R45" s="7"/>
      <c r="S45" s="4"/>
      <c r="T45" s="7">
        <v>646</v>
      </c>
      <c r="U45" s="4"/>
      <c r="V45" s="7"/>
      <c r="W45" s="4"/>
      <c r="X45" s="7"/>
      <c r="Y45" s="4"/>
      <c r="Z45" s="7"/>
      <c r="AA45" s="4">
        <f t="shared" si="0"/>
        <v>0</v>
      </c>
      <c r="AB45" s="7">
        <f t="shared" si="0"/>
        <v>3465</v>
      </c>
    </row>
    <row r="46" spans="1:28" ht="18.75" customHeight="1" thickBot="1" x14ac:dyDescent="0.35">
      <c r="A46" s="39"/>
      <c r="B46" s="1" t="s">
        <v>16</v>
      </c>
      <c r="C46" s="9"/>
      <c r="D46" s="10">
        <v>153.38999999999999</v>
      </c>
      <c r="E46" s="9"/>
      <c r="F46" s="10"/>
      <c r="G46" s="9"/>
      <c r="H46" s="10">
        <v>160.02000000000001</v>
      </c>
      <c r="I46" s="9"/>
      <c r="J46" s="10"/>
      <c r="K46" s="9"/>
      <c r="L46" s="10">
        <v>36.57</v>
      </c>
      <c r="M46" s="9"/>
      <c r="N46" s="10"/>
      <c r="O46" s="9"/>
      <c r="P46" s="10">
        <v>275.97000000000003</v>
      </c>
      <c r="Q46" s="9"/>
      <c r="R46" s="10"/>
      <c r="S46" s="9"/>
      <c r="T46" s="10">
        <v>151.03</v>
      </c>
      <c r="U46" s="9"/>
      <c r="V46" s="10"/>
      <c r="W46" s="9"/>
      <c r="X46" s="10"/>
      <c r="Y46" s="9"/>
      <c r="Z46" s="10"/>
      <c r="AA46" s="11">
        <f t="shared" si="0"/>
        <v>0</v>
      </c>
      <c r="AB46" s="12">
        <f t="shared" si="0"/>
        <v>776.98</v>
      </c>
    </row>
    <row r="47" spans="1:28" ht="18.75" customHeight="1" thickBot="1" x14ac:dyDescent="0.35">
      <c r="A47" s="38" t="s">
        <v>38</v>
      </c>
      <c r="B47" s="2" t="s">
        <v>55</v>
      </c>
      <c r="C47" s="4"/>
      <c r="D47" s="7">
        <v>4367</v>
      </c>
      <c r="E47" s="4"/>
      <c r="F47" s="7"/>
      <c r="G47" s="4"/>
      <c r="H47" s="7">
        <v>6237</v>
      </c>
      <c r="I47" s="4"/>
      <c r="J47" s="7"/>
      <c r="K47" s="4"/>
      <c r="L47" s="7">
        <v>4644</v>
      </c>
      <c r="M47" s="4"/>
      <c r="N47" s="7"/>
      <c r="O47" s="4"/>
      <c r="P47" s="7">
        <v>3855</v>
      </c>
      <c r="Q47" s="4"/>
      <c r="R47" s="7"/>
      <c r="S47" s="4"/>
      <c r="T47" s="7">
        <v>-1559</v>
      </c>
      <c r="U47" s="4"/>
      <c r="V47" s="7"/>
      <c r="W47" s="4"/>
      <c r="X47" s="7">
        <v>2090</v>
      </c>
      <c r="Y47" s="4"/>
      <c r="Z47" s="7"/>
      <c r="AA47" s="4">
        <f t="shared" si="0"/>
        <v>0</v>
      </c>
      <c r="AB47" s="7">
        <f t="shared" si="0"/>
        <v>19634</v>
      </c>
    </row>
    <row r="48" spans="1:28" ht="18.75" customHeight="1" thickBot="1" x14ac:dyDescent="0.35">
      <c r="A48" s="39"/>
      <c r="B48" s="1" t="s">
        <v>16</v>
      </c>
      <c r="C48" s="9"/>
      <c r="D48" s="10">
        <v>750.71</v>
      </c>
      <c r="E48" s="9"/>
      <c r="F48" s="10"/>
      <c r="G48" s="9"/>
      <c r="H48" s="10">
        <v>1050.78</v>
      </c>
      <c r="I48" s="9"/>
      <c r="J48" s="10"/>
      <c r="K48" s="9"/>
      <c r="L48" s="10">
        <v>812.72</v>
      </c>
      <c r="M48" s="9"/>
      <c r="N48" s="10"/>
      <c r="O48" s="9"/>
      <c r="P48" s="10">
        <v>686.27</v>
      </c>
      <c r="Q48" s="9"/>
      <c r="R48" s="10"/>
      <c r="S48" s="9"/>
      <c r="T48" s="10">
        <v>-178.94</v>
      </c>
      <c r="U48" s="9"/>
      <c r="V48" s="10"/>
      <c r="W48" s="9"/>
      <c r="X48" s="10">
        <v>411.77</v>
      </c>
      <c r="Y48" s="9"/>
      <c r="Z48" s="10"/>
      <c r="AA48" s="11">
        <f t="shared" si="0"/>
        <v>0</v>
      </c>
      <c r="AB48" s="12">
        <f t="shared" si="0"/>
        <v>3533.31</v>
      </c>
    </row>
    <row r="49" spans="1:28" ht="18.75" customHeight="1" thickBot="1" x14ac:dyDescent="0.35">
      <c r="A49" s="38" t="s">
        <v>39</v>
      </c>
      <c r="B49" s="2" t="s">
        <v>55</v>
      </c>
      <c r="C49" s="4"/>
      <c r="D49" s="7">
        <v>9273</v>
      </c>
      <c r="E49" s="4"/>
      <c r="F49" s="7"/>
      <c r="G49" s="4"/>
      <c r="H49" s="7">
        <v>13185</v>
      </c>
      <c r="I49" s="4"/>
      <c r="J49" s="7"/>
      <c r="K49" s="4">
        <v>133770</v>
      </c>
      <c r="L49" s="7">
        <v>9298</v>
      </c>
      <c r="M49" s="4"/>
      <c r="N49" s="7"/>
      <c r="O49" s="4"/>
      <c r="P49" s="7">
        <v>8698</v>
      </c>
      <c r="Q49" s="4"/>
      <c r="R49" s="7"/>
      <c r="S49" s="4"/>
      <c r="T49" s="7">
        <v>-536</v>
      </c>
      <c r="U49" s="4"/>
      <c r="V49" s="7"/>
      <c r="W49" s="4">
        <v>153338</v>
      </c>
      <c r="X49" s="7">
        <v>6571</v>
      </c>
      <c r="Y49" s="4"/>
      <c r="Z49" s="7"/>
      <c r="AA49" s="4">
        <f t="shared" si="0"/>
        <v>287108</v>
      </c>
      <c r="AB49" s="7">
        <f t="shared" si="0"/>
        <v>46489</v>
      </c>
    </row>
    <row r="50" spans="1:28" ht="18.75" customHeight="1" thickBot="1" x14ac:dyDescent="0.35">
      <c r="A50" s="39"/>
      <c r="B50" s="1" t="s">
        <v>16</v>
      </c>
      <c r="C50" s="9"/>
      <c r="D50" s="10">
        <v>1539.11</v>
      </c>
      <c r="E50" s="9"/>
      <c r="F50" s="10"/>
      <c r="G50" s="9"/>
      <c r="H50" s="10">
        <v>2166.21</v>
      </c>
      <c r="I50" s="9"/>
      <c r="J50" s="10"/>
      <c r="K50" s="9">
        <v>6595.3</v>
      </c>
      <c r="L50" s="10">
        <v>1585.54</v>
      </c>
      <c r="M50" s="9"/>
      <c r="N50" s="10"/>
      <c r="O50" s="9"/>
      <c r="P50" s="10">
        <v>1487.6</v>
      </c>
      <c r="Q50" s="9"/>
      <c r="R50" s="10"/>
      <c r="S50" s="9"/>
      <c r="T50" s="10">
        <v>-15.85</v>
      </c>
      <c r="U50" s="9"/>
      <c r="V50" s="10"/>
      <c r="W50" s="9">
        <v>7471.65</v>
      </c>
      <c r="X50" s="10">
        <v>1154.24</v>
      </c>
      <c r="Y50" s="9"/>
      <c r="Z50" s="10"/>
      <c r="AA50" s="11">
        <f t="shared" si="0"/>
        <v>14066.95</v>
      </c>
      <c r="AB50" s="12">
        <f t="shared" si="0"/>
        <v>7916.8499999999985</v>
      </c>
    </row>
    <row r="51" spans="1:28" ht="18.75" customHeight="1" thickBot="1" x14ac:dyDescent="0.35">
      <c r="A51" s="38" t="s">
        <v>57</v>
      </c>
      <c r="B51" s="2" t="s">
        <v>55</v>
      </c>
      <c r="C51" s="4"/>
      <c r="D51" s="7">
        <v>1966</v>
      </c>
      <c r="E51" s="4">
        <v>0</v>
      </c>
      <c r="F51" s="7"/>
      <c r="G51" s="4"/>
      <c r="H51" s="7">
        <v>2580</v>
      </c>
      <c r="I51" s="4"/>
      <c r="J51" s="7"/>
      <c r="K51" s="4">
        <v>0</v>
      </c>
      <c r="L51" s="7">
        <v>1896</v>
      </c>
      <c r="M51" s="4"/>
      <c r="N51" s="7"/>
      <c r="O51" s="4"/>
      <c r="P51" s="7">
        <v>1922</v>
      </c>
      <c r="Q51" s="4">
        <v>0</v>
      </c>
      <c r="R51" s="7"/>
      <c r="S51" s="4"/>
      <c r="T51" s="7">
        <v>-1917</v>
      </c>
      <c r="U51" s="4"/>
      <c r="V51" s="7"/>
      <c r="W51" s="4">
        <v>0</v>
      </c>
      <c r="X51" s="7">
        <v>1164</v>
      </c>
      <c r="Y51" s="4"/>
      <c r="Z51" s="7"/>
      <c r="AA51" s="4">
        <f t="shared" si="0"/>
        <v>0</v>
      </c>
      <c r="AB51" s="7">
        <f t="shared" si="0"/>
        <v>7611</v>
      </c>
    </row>
    <row r="52" spans="1:28" ht="18.75" customHeight="1" thickBot="1" x14ac:dyDescent="0.35">
      <c r="A52" s="39"/>
      <c r="B52" s="1" t="s">
        <v>16</v>
      </c>
      <c r="C52" s="9"/>
      <c r="D52" s="10">
        <v>346.55</v>
      </c>
      <c r="E52" s="9">
        <v>22.86</v>
      </c>
      <c r="F52" s="10"/>
      <c r="G52" s="9"/>
      <c r="H52" s="10">
        <v>446.15</v>
      </c>
      <c r="I52" s="9"/>
      <c r="J52" s="10"/>
      <c r="K52" s="9">
        <v>22.64</v>
      </c>
      <c r="L52" s="10">
        <v>344.75</v>
      </c>
      <c r="M52" s="9"/>
      <c r="N52" s="10"/>
      <c r="O52" s="9"/>
      <c r="P52" s="10">
        <v>349.01</v>
      </c>
      <c r="Q52" s="9">
        <v>22.79</v>
      </c>
      <c r="R52" s="10"/>
      <c r="S52" s="9"/>
      <c r="T52" s="10">
        <v>-276.31</v>
      </c>
      <c r="U52" s="9"/>
      <c r="V52" s="10"/>
      <c r="W52" s="9">
        <v>22.85</v>
      </c>
      <c r="X52" s="10">
        <v>228.74</v>
      </c>
      <c r="Y52" s="9"/>
      <c r="Z52" s="10"/>
      <c r="AA52" s="11">
        <f t="shared" si="0"/>
        <v>91.139999999999986</v>
      </c>
      <c r="AB52" s="12">
        <f t="shared" si="0"/>
        <v>1438.89</v>
      </c>
    </row>
    <row r="53" spans="1:28" ht="18.75" customHeight="1" thickBot="1" x14ac:dyDescent="0.35">
      <c r="A53" s="38" t="s">
        <v>40</v>
      </c>
      <c r="B53" s="2" t="s">
        <v>55</v>
      </c>
      <c r="C53" s="4"/>
      <c r="D53" s="7">
        <v>299</v>
      </c>
      <c r="E53" s="4" t="s">
        <v>72</v>
      </c>
      <c r="F53" s="7"/>
      <c r="G53" s="4"/>
      <c r="H53" s="7">
        <v>175</v>
      </c>
      <c r="I53" s="4"/>
      <c r="J53" s="7"/>
      <c r="K53" s="4"/>
      <c r="L53" s="7">
        <v>302</v>
      </c>
      <c r="M53" s="4"/>
      <c r="N53" s="7"/>
      <c r="O53" s="4"/>
      <c r="P53" s="7">
        <v>334</v>
      </c>
      <c r="Q53" s="4"/>
      <c r="R53" s="7"/>
      <c r="S53" s="4"/>
      <c r="T53" s="7"/>
      <c r="U53" s="4"/>
      <c r="V53" s="7"/>
      <c r="W53" s="4"/>
      <c r="X53" s="7">
        <v>385</v>
      </c>
      <c r="Y53" s="4"/>
      <c r="Z53" s="7"/>
      <c r="AA53" s="4">
        <v>0</v>
      </c>
      <c r="AB53" s="7">
        <f t="shared" si="0"/>
        <v>1495</v>
      </c>
    </row>
    <row r="54" spans="1:28" ht="18.75" customHeight="1" thickBot="1" x14ac:dyDescent="0.35">
      <c r="A54" s="39"/>
      <c r="B54" s="1" t="s">
        <v>16</v>
      </c>
      <c r="C54" s="9"/>
      <c r="D54" s="10">
        <v>73.760000000000005</v>
      </c>
      <c r="E54" s="9"/>
      <c r="F54" s="10"/>
      <c r="G54" s="9"/>
      <c r="H54" s="10">
        <v>54.67</v>
      </c>
      <c r="I54" s="9"/>
      <c r="J54" s="10"/>
      <c r="K54" s="9"/>
      <c r="L54" s="10">
        <v>76.44</v>
      </c>
      <c r="M54" s="9"/>
      <c r="N54" s="10"/>
      <c r="O54" s="9"/>
      <c r="P54" s="10">
        <v>81.66</v>
      </c>
      <c r="Q54" s="9"/>
      <c r="R54" s="10"/>
      <c r="S54" s="9"/>
      <c r="T54" s="10"/>
      <c r="U54" s="9"/>
      <c r="V54" s="10"/>
      <c r="W54" s="9"/>
      <c r="X54" s="10">
        <v>91.61</v>
      </c>
      <c r="Y54" s="9"/>
      <c r="Z54" s="10"/>
      <c r="AA54" s="11">
        <f t="shared" si="0"/>
        <v>0</v>
      </c>
      <c r="AB54" s="12">
        <f t="shared" si="0"/>
        <v>378.14</v>
      </c>
    </row>
    <row r="55" spans="1:28" ht="18.75" customHeight="1" thickBot="1" x14ac:dyDescent="0.35">
      <c r="A55" s="38" t="s">
        <v>69</v>
      </c>
      <c r="B55" s="2" t="s">
        <v>55</v>
      </c>
      <c r="C55" s="4"/>
      <c r="D55" s="7">
        <v>55</v>
      </c>
      <c r="E55" s="4"/>
      <c r="F55" s="7"/>
      <c r="G55" s="4"/>
      <c r="H55" s="7">
        <v>95</v>
      </c>
      <c r="I55" s="4"/>
      <c r="J55" s="7"/>
      <c r="K55" s="4"/>
      <c r="L55" s="7">
        <v>52</v>
      </c>
      <c r="M55" s="4"/>
      <c r="N55" s="7"/>
      <c r="O55" s="4"/>
      <c r="P55" s="7">
        <v>50</v>
      </c>
      <c r="Q55" s="4"/>
      <c r="R55" s="7"/>
      <c r="S55" s="4"/>
      <c r="T55" s="7">
        <v>-12</v>
      </c>
      <c r="U55" s="4"/>
      <c r="V55" s="7"/>
      <c r="W55" s="4"/>
      <c r="X55" s="7">
        <v>64</v>
      </c>
      <c r="Y55" s="4"/>
      <c r="Z55" s="7"/>
      <c r="AA55" s="4">
        <f t="shared" si="0"/>
        <v>0</v>
      </c>
      <c r="AB55" s="7">
        <f t="shared" si="0"/>
        <v>304</v>
      </c>
    </row>
    <row r="56" spans="1:28" ht="18.75" customHeight="1" thickBot="1" x14ac:dyDescent="0.35">
      <c r="A56" s="39"/>
      <c r="B56" s="1" t="s">
        <v>16</v>
      </c>
      <c r="C56" s="9"/>
      <c r="D56" s="10">
        <v>30.67</v>
      </c>
      <c r="E56" s="9"/>
      <c r="F56" s="10"/>
      <c r="G56" s="9"/>
      <c r="H56" s="10">
        <v>37.549999999999997</v>
      </c>
      <c r="I56" s="9"/>
      <c r="J56" s="10"/>
      <c r="K56" s="9"/>
      <c r="L56" s="10">
        <v>31.25</v>
      </c>
      <c r="M56" s="9"/>
      <c r="N56" s="10"/>
      <c r="O56" s="9"/>
      <c r="P56" s="10">
        <v>30.95</v>
      </c>
      <c r="Q56" s="9"/>
      <c r="R56" s="10"/>
      <c r="S56" s="9"/>
      <c r="T56" s="10">
        <v>21.25</v>
      </c>
      <c r="U56" s="9"/>
      <c r="V56" s="10"/>
      <c r="W56" s="9"/>
      <c r="X56" s="10">
        <v>33.950000000000003</v>
      </c>
      <c r="Y56" s="9"/>
      <c r="Z56" s="10"/>
      <c r="AA56" s="11">
        <f t="shared" si="0"/>
        <v>0</v>
      </c>
      <c r="AB56" s="12">
        <f t="shared" si="0"/>
        <v>185.62</v>
      </c>
    </row>
    <row r="57" spans="1:28" ht="18.75" customHeight="1" thickBot="1" x14ac:dyDescent="0.35">
      <c r="A57" s="38" t="s">
        <v>42</v>
      </c>
      <c r="B57" s="2" t="s">
        <v>55</v>
      </c>
      <c r="C57" s="4"/>
      <c r="D57" s="7">
        <v>318</v>
      </c>
      <c r="E57" s="4">
        <v>3300</v>
      </c>
      <c r="F57" s="7"/>
      <c r="G57" s="4"/>
      <c r="H57" s="7">
        <v>132</v>
      </c>
      <c r="I57" s="4"/>
      <c r="J57" s="7"/>
      <c r="K57" s="4">
        <v>2488</v>
      </c>
      <c r="L57" s="7">
        <v>187</v>
      </c>
      <c r="M57" s="4"/>
      <c r="N57" s="7"/>
      <c r="O57" s="4">
        <v>303</v>
      </c>
      <c r="P57" s="7">
        <v>189</v>
      </c>
      <c r="Q57" s="4"/>
      <c r="R57" s="7"/>
      <c r="S57" s="4"/>
      <c r="T57" s="7">
        <v>466</v>
      </c>
      <c r="U57" s="4"/>
      <c r="V57" s="7"/>
      <c r="W57" s="4">
        <v>910</v>
      </c>
      <c r="X57" s="7">
        <v>220</v>
      </c>
      <c r="Y57" s="4"/>
      <c r="Z57" s="7"/>
      <c r="AA57" s="4">
        <f t="shared" si="0"/>
        <v>7001</v>
      </c>
      <c r="AB57" s="7">
        <f t="shared" si="0"/>
        <v>1512</v>
      </c>
    </row>
    <row r="58" spans="1:28" ht="18.75" customHeight="1" thickBot="1" x14ac:dyDescent="0.35">
      <c r="A58" s="39"/>
      <c r="B58" s="1" t="s">
        <v>16</v>
      </c>
      <c r="C58" s="9"/>
      <c r="D58" s="10">
        <v>92.42</v>
      </c>
      <c r="E58" s="9">
        <v>241.93</v>
      </c>
      <c r="F58" s="10"/>
      <c r="G58" s="9"/>
      <c r="H58" s="10">
        <v>63.39</v>
      </c>
      <c r="I58" s="9"/>
      <c r="J58" s="10"/>
      <c r="K58" s="9">
        <v>203.56</v>
      </c>
      <c r="L58" s="10">
        <v>73.290000000000006</v>
      </c>
      <c r="M58" s="9"/>
      <c r="N58" s="10"/>
      <c r="O58" s="9">
        <v>107.18</v>
      </c>
      <c r="P58" s="10">
        <v>73.650000000000006</v>
      </c>
      <c r="Q58" s="9"/>
      <c r="R58" s="10"/>
      <c r="S58" s="9"/>
      <c r="T58" s="10">
        <v>120.79</v>
      </c>
      <c r="U58" s="9"/>
      <c r="V58" s="10"/>
      <c r="W58" s="9">
        <v>133.97</v>
      </c>
      <c r="X58" s="10">
        <v>82.22</v>
      </c>
      <c r="Y58" s="9"/>
      <c r="Z58" s="10"/>
      <c r="AA58" s="11">
        <f t="shared" si="0"/>
        <v>686.6400000000001</v>
      </c>
      <c r="AB58" s="12">
        <f t="shared" si="0"/>
        <v>505.76</v>
      </c>
    </row>
    <row r="59" spans="1:28" ht="18.75" customHeight="1" thickBot="1" x14ac:dyDescent="0.35">
      <c r="A59" s="38" t="s">
        <v>43</v>
      </c>
      <c r="B59" s="2" t="s">
        <v>55</v>
      </c>
      <c r="C59" s="4"/>
      <c r="D59" s="7">
        <v>22</v>
      </c>
      <c r="E59" s="4"/>
      <c r="F59" s="7"/>
      <c r="G59" s="4"/>
      <c r="H59" s="7">
        <v>28</v>
      </c>
      <c r="I59" s="4"/>
      <c r="J59" s="7"/>
      <c r="K59" s="4"/>
      <c r="L59" s="7">
        <v>16</v>
      </c>
      <c r="M59" s="4"/>
      <c r="N59" s="7"/>
      <c r="O59" s="4"/>
      <c r="P59" s="7">
        <v>21</v>
      </c>
      <c r="Q59" s="4"/>
      <c r="R59" s="7"/>
      <c r="S59" s="4"/>
      <c r="T59" s="7"/>
      <c r="U59" s="4"/>
      <c r="V59" s="7"/>
      <c r="W59" s="4"/>
      <c r="X59" s="7">
        <v>0</v>
      </c>
      <c r="Y59" s="4"/>
      <c r="Z59" s="7"/>
      <c r="AA59" s="4">
        <f t="shared" si="0"/>
        <v>0</v>
      </c>
      <c r="AB59" s="7">
        <f t="shared" si="0"/>
        <v>87</v>
      </c>
    </row>
    <row r="60" spans="1:28" ht="18.75" customHeight="1" thickBot="1" x14ac:dyDescent="0.35">
      <c r="A60" s="39"/>
      <c r="B60" s="1" t="s">
        <v>16</v>
      </c>
      <c r="C60" s="9"/>
      <c r="D60" s="10">
        <v>33.700000000000003</v>
      </c>
      <c r="E60" s="9"/>
      <c r="F60" s="10"/>
      <c r="G60" s="9"/>
      <c r="H60" s="10">
        <v>35.11</v>
      </c>
      <c r="I60" s="9"/>
      <c r="J60" s="10"/>
      <c r="K60" s="9"/>
      <c r="L60" s="10">
        <v>33.65</v>
      </c>
      <c r="M60" s="9"/>
      <c r="N60" s="10"/>
      <c r="O60" s="9"/>
      <c r="P60" s="10">
        <v>34.479999999999997</v>
      </c>
      <c r="Q60" s="9"/>
      <c r="R60" s="10"/>
      <c r="S60" s="9"/>
      <c r="T60" s="10"/>
      <c r="U60" s="9"/>
      <c r="V60" s="10"/>
      <c r="W60" s="9"/>
      <c r="X60" s="10">
        <v>32.67</v>
      </c>
      <c r="Y60" s="9"/>
      <c r="Z60" s="10"/>
      <c r="AA60" s="11">
        <f t="shared" si="0"/>
        <v>0</v>
      </c>
      <c r="AB60" s="12">
        <f t="shared" si="0"/>
        <v>169.61</v>
      </c>
    </row>
    <row r="61" spans="1:28" ht="18.75" customHeight="1" thickBot="1" x14ac:dyDescent="0.35">
      <c r="A61" s="38" t="s">
        <v>44</v>
      </c>
      <c r="B61" s="2" t="s">
        <v>55</v>
      </c>
      <c r="C61" s="4"/>
      <c r="D61" s="7">
        <v>33</v>
      </c>
      <c r="E61" s="4"/>
      <c r="F61" s="7"/>
      <c r="G61" s="4"/>
      <c r="H61" s="7">
        <v>70</v>
      </c>
      <c r="I61" s="4"/>
      <c r="J61" s="7"/>
      <c r="K61" s="4"/>
      <c r="L61" s="7">
        <v>32</v>
      </c>
      <c r="M61" s="4"/>
      <c r="N61" s="7"/>
      <c r="O61" s="4"/>
      <c r="P61" s="7">
        <v>31</v>
      </c>
      <c r="Q61" s="4"/>
      <c r="R61" s="7"/>
      <c r="S61" s="4"/>
      <c r="T61" s="7">
        <v>49</v>
      </c>
      <c r="U61" s="4"/>
      <c r="V61" s="7"/>
      <c r="W61" s="4"/>
      <c r="X61" s="7">
        <v>33</v>
      </c>
      <c r="Y61" s="4"/>
      <c r="Z61" s="7"/>
      <c r="AA61" s="4">
        <f t="shared" si="0"/>
        <v>0</v>
      </c>
      <c r="AB61" s="7">
        <f t="shared" si="0"/>
        <v>248</v>
      </c>
    </row>
    <row r="62" spans="1:28" ht="18.75" customHeight="1" thickBot="1" x14ac:dyDescent="0.35">
      <c r="A62" s="39"/>
      <c r="B62" s="1" t="s">
        <v>16</v>
      </c>
      <c r="C62" s="9"/>
      <c r="D62" s="10">
        <v>31.51</v>
      </c>
      <c r="E62" s="9"/>
      <c r="F62" s="10"/>
      <c r="G62" s="9"/>
      <c r="H62" s="10">
        <v>37.880000000000003</v>
      </c>
      <c r="I62" s="9"/>
      <c r="J62" s="10"/>
      <c r="K62" s="9"/>
      <c r="L62" s="10">
        <v>32.340000000000003</v>
      </c>
      <c r="M62" s="9"/>
      <c r="N62" s="10"/>
      <c r="O62" s="9"/>
      <c r="P62" s="10">
        <v>32.18</v>
      </c>
      <c r="Q62" s="9"/>
      <c r="R62" s="10"/>
      <c r="S62" s="9"/>
      <c r="T62" s="10">
        <v>35.869999999999997</v>
      </c>
      <c r="U62" s="9"/>
      <c r="V62" s="10"/>
      <c r="W62" s="9"/>
      <c r="X62" s="10">
        <v>33.76</v>
      </c>
      <c r="Y62" s="9"/>
      <c r="Z62" s="10"/>
      <c r="AA62" s="11">
        <f t="shared" si="0"/>
        <v>0</v>
      </c>
      <c r="AB62" s="12">
        <f t="shared" si="0"/>
        <v>203.54</v>
      </c>
    </row>
    <row r="63" spans="1:28" ht="18.75" customHeight="1" thickBot="1" x14ac:dyDescent="0.35">
      <c r="A63" s="44" t="s">
        <v>1</v>
      </c>
      <c r="B63" s="46" t="s">
        <v>17</v>
      </c>
      <c r="C63" s="44" t="s">
        <v>2</v>
      </c>
      <c r="D63" s="48"/>
      <c r="E63" s="44" t="s">
        <v>3</v>
      </c>
      <c r="F63" s="48"/>
      <c r="G63" s="44" t="s">
        <v>4</v>
      </c>
      <c r="H63" s="48"/>
      <c r="I63" s="44" t="s">
        <v>5</v>
      </c>
      <c r="J63" s="48"/>
      <c r="K63" s="44" t="s">
        <v>6</v>
      </c>
      <c r="L63" s="48"/>
      <c r="M63" s="44" t="s">
        <v>7</v>
      </c>
      <c r="N63" s="48"/>
      <c r="O63" s="44" t="s">
        <v>8</v>
      </c>
      <c r="P63" s="48"/>
      <c r="Q63" s="44" t="s">
        <v>9</v>
      </c>
      <c r="R63" s="48"/>
      <c r="S63" s="44" t="s">
        <v>10</v>
      </c>
      <c r="T63" s="48"/>
      <c r="U63" s="44" t="s">
        <v>11</v>
      </c>
      <c r="V63" s="48"/>
      <c r="W63" s="44" t="s">
        <v>12</v>
      </c>
      <c r="X63" s="48"/>
      <c r="Y63" s="50" t="s">
        <v>13</v>
      </c>
      <c r="Z63" s="51"/>
      <c r="AA63" s="52" t="s">
        <v>64</v>
      </c>
      <c r="AB63" s="53"/>
    </row>
    <row r="64" spans="1:28" ht="18.75" customHeight="1" thickBot="1" x14ac:dyDescent="0.35">
      <c r="A64" s="45"/>
      <c r="B64" s="47"/>
      <c r="C64" s="3" t="s">
        <v>14</v>
      </c>
      <c r="D64" s="6" t="s">
        <v>15</v>
      </c>
      <c r="E64" s="3" t="s">
        <v>14</v>
      </c>
      <c r="F64" s="6" t="s">
        <v>15</v>
      </c>
      <c r="G64" s="3" t="s">
        <v>14</v>
      </c>
      <c r="H64" s="6" t="s">
        <v>15</v>
      </c>
      <c r="I64" s="3" t="s">
        <v>14</v>
      </c>
      <c r="J64" s="6" t="s">
        <v>15</v>
      </c>
      <c r="K64" s="3" t="s">
        <v>14</v>
      </c>
      <c r="L64" s="6" t="s">
        <v>15</v>
      </c>
      <c r="M64" s="3" t="s">
        <v>14</v>
      </c>
      <c r="N64" s="6" t="s">
        <v>15</v>
      </c>
      <c r="O64" s="3" t="s">
        <v>14</v>
      </c>
      <c r="P64" s="6" t="s">
        <v>15</v>
      </c>
      <c r="Q64" s="3" t="s">
        <v>14</v>
      </c>
      <c r="R64" s="6" t="s">
        <v>15</v>
      </c>
      <c r="S64" s="3" t="s">
        <v>14</v>
      </c>
      <c r="T64" s="6" t="s">
        <v>15</v>
      </c>
      <c r="U64" s="3" t="s">
        <v>14</v>
      </c>
      <c r="V64" s="6" t="s">
        <v>15</v>
      </c>
      <c r="W64" s="3" t="s">
        <v>14</v>
      </c>
      <c r="X64" s="6" t="s">
        <v>15</v>
      </c>
      <c r="Y64" s="5" t="s">
        <v>14</v>
      </c>
      <c r="Z64" s="8" t="s">
        <v>15</v>
      </c>
      <c r="AA64" s="5" t="s">
        <v>14</v>
      </c>
      <c r="AB64" s="8" t="s">
        <v>15</v>
      </c>
    </row>
    <row r="65" spans="1:28" ht="18.75" customHeight="1" thickBot="1" x14ac:dyDescent="0.35">
      <c r="A65" s="36" t="s">
        <v>45</v>
      </c>
      <c r="B65" s="2" t="s">
        <v>55</v>
      </c>
      <c r="C65" s="4"/>
      <c r="D65" s="7"/>
      <c r="E65" s="4"/>
      <c r="F65" s="7">
        <v>1202</v>
      </c>
      <c r="G65" s="4"/>
      <c r="H65" s="7"/>
      <c r="I65" s="4"/>
      <c r="J65" s="7">
        <v>705</v>
      </c>
      <c r="K65" s="4"/>
      <c r="L65" s="7"/>
      <c r="M65" s="4"/>
      <c r="N65" s="7">
        <v>936</v>
      </c>
      <c r="O65" s="4"/>
      <c r="P65" s="7"/>
      <c r="Q65" s="4"/>
      <c r="R65" s="7">
        <v>-3941</v>
      </c>
      <c r="S65" s="4"/>
      <c r="T65" s="7"/>
      <c r="U65" s="4"/>
      <c r="V65" s="7">
        <v>331</v>
      </c>
      <c r="W65" s="4"/>
      <c r="X65" s="7"/>
      <c r="Y65" s="4"/>
      <c r="Z65" s="7">
        <v>100</v>
      </c>
      <c r="AA65" s="4">
        <f t="shared" ref="AA65:AB80" si="1">C65+E65+G65+I65+K65+M65+O65+Q65+S65+U65+W65+Y65</f>
        <v>0</v>
      </c>
      <c r="AB65" s="7">
        <f t="shared" si="1"/>
        <v>-667</v>
      </c>
    </row>
    <row r="66" spans="1:28" ht="18.75" customHeight="1" thickBot="1" x14ac:dyDescent="0.35">
      <c r="A66" s="37"/>
      <c r="B66" s="1" t="s">
        <v>16</v>
      </c>
      <c r="C66" s="9"/>
      <c r="D66" s="10"/>
      <c r="E66" s="9"/>
      <c r="F66" s="10">
        <v>227.77</v>
      </c>
      <c r="G66" s="9"/>
      <c r="H66" s="10"/>
      <c r="I66" s="9"/>
      <c r="J66" s="10">
        <v>150.33000000000001</v>
      </c>
      <c r="K66" s="9"/>
      <c r="L66" s="10"/>
      <c r="M66" s="9"/>
      <c r="N66" s="10">
        <v>188.06</v>
      </c>
      <c r="O66" s="9"/>
      <c r="P66" s="10"/>
      <c r="Q66" s="9"/>
      <c r="R66" s="10">
        <v>-605.77</v>
      </c>
      <c r="S66" s="9"/>
      <c r="T66" s="10"/>
      <c r="U66" s="9"/>
      <c r="V66" s="10">
        <v>91.86</v>
      </c>
      <c r="W66" s="9"/>
      <c r="X66" s="10"/>
      <c r="Y66" s="9"/>
      <c r="Z66" s="10">
        <v>53.96</v>
      </c>
      <c r="AA66" s="11">
        <f t="shared" si="1"/>
        <v>0</v>
      </c>
      <c r="AB66" s="12">
        <f t="shared" si="1"/>
        <v>106.21000000000009</v>
      </c>
    </row>
    <row r="67" spans="1:28" ht="18.75" customHeight="1" thickBot="1" x14ac:dyDescent="0.35">
      <c r="A67" s="36" t="s">
        <v>46</v>
      </c>
      <c r="B67" s="2" t="s">
        <v>55</v>
      </c>
      <c r="C67" s="24"/>
      <c r="D67" s="25">
        <v>314</v>
      </c>
      <c r="E67" s="24"/>
      <c r="F67" s="25"/>
      <c r="G67" s="24"/>
      <c r="H67" s="25">
        <v>498</v>
      </c>
      <c r="I67" s="24"/>
      <c r="J67" s="25"/>
      <c r="K67" s="24"/>
      <c r="L67" s="25">
        <v>568</v>
      </c>
      <c r="M67" s="24"/>
      <c r="N67" s="25"/>
      <c r="O67" s="24"/>
      <c r="P67" s="25">
        <v>263</v>
      </c>
      <c r="Q67" s="24"/>
      <c r="R67" s="25"/>
      <c r="S67" s="24"/>
      <c r="T67" s="25">
        <v>345</v>
      </c>
      <c r="U67" s="24"/>
      <c r="V67" s="25" t="s">
        <v>72</v>
      </c>
      <c r="W67" s="24"/>
      <c r="X67" s="25">
        <v>2805</v>
      </c>
      <c r="Y67" s="24"/>
      <c r="Z67" s="25"/>
      <c r="AA67" s="4">
        <f t="shared" si="1"/>
        <v>0</v>
      </c>
      <c r="AB67" s="25">
        <f>SUM(C67:Z67)</f>
        <v>4793</v>
      </c>
    </row>
    <row r="68" spans="1:28" ht="18.75" customHeight="1" thickBot="1" x14ac:dyDescent="0.35">
      <c r="A68" s="37"/>
      <c r="B68" s="1" t="s">
        <v>16</v>
      </c>
      <c r="C68" s="9"/>
      <c r="D68" s="10">
        <v>76.13</v>
      </c>
      <c r="E68" s="9"/>
      <c r="F68" s="10"/>
      <c r="G68" s="9"/>
      <c r="H68" s="10">
        <v>106.83</v>
      </c>
      <c r="I68" s="9"/>
      <c r="J68" s="10"/>
      <c r="K68" s="9"/>
      <c r="L68" s="10">
        <v>119.83</v>
      </c>
      <c r="M68" s="9"/>
      <c r="N68" s="10"/>
      <c r="O68" s="9"/>
      <c r="P68" s="10">
        <v>70.03</v>
      </c>
      <c r="Q68" s="9"/>
      <c r="R68" s="10"/>
      <c r="S68" s="9"/>
      <c r="T68" s="10">
        <v>85.17</v>
      </c>
      <c r="U68" s="9"/>
      <c r="V68" s="10"/>
      <c r="W68" s="9"/>
      <c r="X68" s="10">
        <v>489.53</v>
      </c>
      <c r="Y68" s="9"/>
      <c r="Z68" s="10"/>
      <c r="AA68" s="11">
        <f t="shared" si="1"/>
        <v>0</v>
      </c>
      <c r="AB68" s="12">
        <f t="shared" si="1"/>
        <v>947.52</v>
      </c>
    </row>
    <row r="69" spans="1:28" ht="18.75" customHeight="1" thickBot="1" x14ac:dyDescent="0.35">
      <c r="A69" s="38" t="s">
        <v>47</v>
      </c>
      <c r="B69" s="2" t="s">
        <v>55</v>
      </c>
      <c r="C69" s="4"/>
      <c r="D69" s="7">
        <v>91</v>
      </c>
      <c r="E69" s="4"/>
      <c r="F69" s="7">
        <v>144</v>
      </c>
      <c r="G69" s="4"/>
      <c r="H69" s="7"/>
      <c r="I69" s="4"/>
      <c r="J69" s="7"/>
      <c r="K69" s="4"/>
      <c r="L69" s="7">
        <v>164</v>
      </c>
      <c r="M69" s="4"/>
      <c r="N69" s="7"/>
      <c r="O69" s="4"/>
      <c r="P69" s="7">
        <v>76</v>
      </c>
      <c r="Q69" s="4"/>
      <c r="R69" s="7"/>
      <c r="S69" s="4"/>
      <c r="T69" s="7">
        <v>96</v>
      </c>
      <c r="U69" s="4"/>
      <c r="V69" s="7"/>
      <c r="W69" s="4"/>
      <c r="X69" s="7">
        <v>144</v>
      </c>
      <c r="Y69" s="4"/>
      <c r="Z69" s="7"/>
      <c r="AA69" s="4">
        <f t="shared" si="1"/>
        <v>0</v>
      </c>
      <c r="AB69" s="7">
        <f t="shared" si="1"/>
        <v>715</v>
      </c>
    </row>
    <row r="70" spans="1:28" ht="18.75" customHeight="1" thickBot="1" x14ac:dyDescent="0.35">
      <c r="A70" s="39"/>
      <c r="B70" s="1" t="s">
        <v>16</v>
      </c>
      <c r="C70" s="9"/>
      <c r="D70" s="10">
        <v>655.25</v>
      </c>
      <c r="E70" s="9"/>
      <c r="F70" s="10">
        <v>82.05</v>
      </c>
      <c r="G70" s="9"/>
      <c r="H70" s="10"/>
      <c r="I70" s="9"/>
      <c r="J70" s="10"/>
      <c r="K70" s="9"/>
      <c r="L70" s="10">
        <v>86.28</v>
      </c>
      <c r="M70" s="9"/>
      <c r="N70" s="10"/>
      <c r="O70" s="9"/>
      <c r="P70" s="10">
        <v>71.930000000000007</v>
      </c>
      <c r="Q70" s="9"/>
      <c r="R70" s="10"/>
      <c r="S70" s="9"/>
      <c r="T70" s="10">
        <v>78.28</v>
      </c>
      <c r="U70" s="9"/>
      <c r="V70" s="10"/>
      <c r="W70" s="9"/>
      <c r="X70" s="10">
        <v>89.4</v>
      </c>
      <c r="Y70" s="9"/>
      <c r="Z70" s="10"/>
      <c r="AA70" s="11">
        <f t="shared" si="1"/>
        <v>0</v>
      </c>
      <c r="AB70" s="12">
        <f t="shared" si="1"/>
        <v>1063.19</v>
      </c>
    </row>
    <row r="71" spans="1:28" ht="18.75" customHeight="1" thickBot="1" x14ac:dyDescent="0.35">
      <c r="A71" s="38" t="s">
        <v>48</v>
      </c>
      <c r="B71" s="2" t="s">
        <v>55</v>
      </c>
      <c r="C71" s="4"/>
      <c r="D71" s="7"/>
      <c r="E71" s="4"/>
      <c r="F71" s="7">
        <v>515</v>
      </c>
      <c r="G71" s="4"/>
      <c r="H71" s="7"/>
      <c r="I71" s="4"/>
      <c r="J71" s="7"/>
      <c r="K71" s="4"/>
      <c r="L71" s="7">
        <v>588</v>
      </c>
      <c r="M71" s="4"/>
      <c r="N71" s="7"/>
      <c r="O71" s="4"/>
      <c r="P71" s="7">
        <v>297</v>
      </c>
      <c r="Q71" s="4"/>
      <c r="R71" s="7"/>
      <c r="S71" s="4"/>
      <c r="T71" s="7">
        <v>377</v>
      </c>
      <c r="U71" s="4"/>
      <c r="V71" s="7"/>
      <c r="W71" s="4"/>
      <c r="X71" s="7">
        <v>-2218</v>
      </c>
      <c r="Y71" s="4"/>
      <c r="Z71" s="7"/>
      <c r="AA71" s="4">
        <f t="shared" si="1"/>
        <v>0</v>
      </c>
      <c r="AB71" s="7">
        <f t="shared" si="1"/>
        <v>-441</v>
      </c>
    </row>
    <row r="72" spans="1:28" ht="18.75" customHeight="1" thickBot="1" x14ac:dyDescent="0.35">
      <c r="A72" s="39"/>
      <c r="B72" s="1" t="s">
        <v>16</v>
      </c>
      <c r="C72" s="9"/>
      <c r="D72" s="10"/>
      <c r="E72" s="9"/>
      <c r="F72" s="10">
        <v>108.67</v>
      </c>
      <c r="G72" s="9"/>
      <c r="H72" s="10"/>
      <c r="I72" s="9"/>
      <c r="J72" s="10"/>
      <c r="K72" s="9"/>
      <c r="L72" s="10">
        <v>123.1</v>
      </c>
      <c r="M72" s="9"/>
      <c r="N72" s="10"/>
      <c r="O72" s="9"/>
      <c r="P72" s="10">
        <v>75.599999999999994</v>
      </c>
      <c r="Q72" s="9"/>
      <c r="R72" s="10"/>
      <c r="S72" s="9"/>
      <c r="T72" s="10">
        <v>89.42</v>
      </c>
      <c r="U72" s="9"/>
      <c r="V72" s="10"/>
      <c r="W72" s="9"/>
      <c r="X72" s="10">
        <v>-336.35</v>
      </c>
      <c r="Y72" s="9"/>
      <c r="Z72" s="10"/>
      <c r="AA72" s="11">
        <f t="shared" si="1"/>
        <v>0</v>
      </c>
      <c r="AB72" s="12">
        <f t="shared" si="1"/>
        <v>60.44</v>
      </c>
    </row>
    <row r="73" spans="1:28" ht="18.75" customHeight="1" thickBot="1" x14ac:dyDescent="0.35">
      <c r="A73" s="38" t="s">
        <v>49</v>
      </c>
      <c r="B73" s="2" t="s">
        <v>55</v>
      </c>
      <c r="C73" s="4"/>
      <c r="D73" s="7">
        <f>207+209</f>
        <v>416</v>
      </c>
      <c r="E73" s="4"/>
      <c r="F73" s="7">
        <v>138</v>
      </c>
      <c r="G73" s="4"/>
      <c r="H73" s="7">
        <f>215+217</f>
        <v>432</v>
      </c>
      <c r="I73" s="4"/>
      <c r="J73" s="7"/>
      <c r="K73" s="4"/>
      <c r="L73" s="7">
        <f>140+0+0</f>
        <v>140</v>
      </c>
      <c r="M73" s="4"/>
      <c r="N73" s="7"/>
      <c r="O73" s="4"/>
      <c r="P73" s="7">
        <f>182+410+415</f>
        <v>1007</v>
      </c>
      <c r="Q73" s="4"/>
      <c r="R73" s="7"/>
      <c r="S73" s="4"/>
      <c r="T73" s="7">
        <f>91+191+193</f>
        <v>475</v>
      </c>
      <c r="U73" s="4"/>
      <c r="V73" s="7"/>
      <c r="W73" s="4"/>
      <c r="X73" s="7">
        <f>582+46092+95</f>
        <v>46769</v>
      </c>
      <c r="Y73" s="4"/>
      <c r="Z73" s="7"/>
      <c r="AA73" s="4">
        <f t="shared" si="1"/>
        <v>0</v>
      </c>
      <c r="AB73" s="7">
        <f t="shared" si="1"/>
        <v>49377</v>
      </c>
    </row>
    <row r="74" spans="1:28" ht="18.75" customHeight="1" thickBot="1" x14ac:dyDescent="0.35">
      <c r="A74" s="39"/>
      <c r="B74" s="1" t="s">
        <v>16</v>
      </c>
      <c r="C74" s="9"/>
      <c r="D74" s="10">
        <f>63.05+75.11</f>
        <v>138.16</v>
      </c>
      <c r="E74" s="9"/>
      <c r="F74" s="10">
        <v>63.93</v>
      </c>
      <c r="G74" s="9"/>
      <c r="H74" s="10">
        <f>77.47+65.42</f>
        <v>142.88999999999999</v>
      </c>
      <c r="I74" s="9"/>
      <c r="J74" s="10"/>
      <c r="K74" s="9"/>
      <c r="L74" s="10">
        <f>65.43+27.16+36.57</f>
        <v>129.16</v>
      </c>
      <c r="M74" s="9"/>
      <c r="N74" s="10"/>
      <c r="O74" s="9"/>
      <c r="P74" s="10">
        <f>72.47+101.94+116.83</f>
        <v>291.24</v>
      </c>
      <c r="Q74" s="9"/>
      <c r="R74" s="10"/>
      <c r="S74" s="9"/>
      <c r="T74" s="10">
        <f>58.98+63.58+76.74</f>
        <v>199.3</v>
      </c>
      <c r="U74" s="9"/>
      <c r="V74" s="10"/>
      <c r="W74" s="9"/>
      <c r="X74" s="10">
        <f>142.08+7606.95+61.67</f>
        <v>7810.7</v>
      </c>
      <c r="Y74" s="9"/>
      <c r="Z74" s="10"/>
      <c r="AA74" s="11">
        <f t="shared" si="1"/>
        <v>0</v>
      </c>
      <c r="AB74" s="12">
        <f t="shared" si="1"/>
        <v>8775.3799999999992</v>
      </c>
    </row>
    <row r="75" spans="1:28" ht="18.75" customHeight="1" thickBot="1" x14ac:dyDescent="0.35">
      <c r="A75" s="38" t="s">
        <v>58</v>
      </c>
      <c r="B75" s="2" t="s">
        <v>55</v>
      </c>
      <c r="C75" s="4"/>
      <c r="D75" s="7"/>
      <c r="E75" s="4"/>
      <c r="F75" s="7">
        <v>10</v>
      </c>
      <c r="G75" s="4"/>
      <c r="H75" s="7"/>
      <c r="I75" s="4"/>
      <c r="J75" s="7">
        <v>11</v>
      </c>
      <c r="K75" s="4"/>
      <c r="L75" s="7"/>
      <c r="M75" s="4"/>
      <c r="N75" s="7">
        <v>5</v>
      </c>
      <c r="O75" s="4"/>
      <c r="P75" s="7"/>
      <c r="Q75" s="4"/>
      <c r="R75" s="7">
        <v>7</v>
      </c>
      <c r="S75" s="4"/>
      <c r="T75" s="7"/>
      <c r="U75" s="4"/>
      <c r="V75" s="7">
        <v>0</v>
      </c>
      <c r="W75" s="4"/>
      <c r="X75" s="7"/>
      <c r="Y75" s="4"/>
      <c r="Z75" s="7">
        <v>13</v>
      </c>
      <c r="AA75" s="4">
        <f t="shared" si="1"/>
        <v>0</v>
      </c>
      <c r="AB75" s="7">
        <f t="shared" si="1"/>
        <v>46</v>
      </c>
    </row>
    <row r="76" spans="1:28" ht="18.75" customHeight="1" thickBot="1" x14ac:dyDescent="0.35">
      <c r="A76" s="39"/>
      <c r="B76" s="1" t="s">
        <v>16</v>
      </c>
      <c r="C76" s="9"/>
      <c r="D76" s="10"/>
      <c r="E76" s="9"/>
      <c r="F76" s="10">
        <v>27.88</v>
      </c>
      <c r="G76" s="9"/>
      <c r="H76" s="10"/>
      <c r="I76" s="9"/>
      <c r="J76" s="10">
        <v>28.92</v>
      </c>
      <c r="K76" s="9"/>
      <c r="L76" s="10"/>
      <c r="M76" s="9"/>
      <c r="N76" s="10">
        <v>27.93</v>
      </c>
      <c r="O76" s="9"/>
      <c r="P76" s="10"/>
      <c r="Q76" s="9"/>
      <c r="R76" s="10">
        <v>28.48</v>
      </c>
      <c r="S76" s="9"/>
      <c r="T76" s="10"/>
      <c r="U76" s="9"/>
      <c r="V76" s="10">
        <v>24.98</v>
      </c>
      <c r="W76" s="9"/>
      <c r="X76" s="10"/>
      <c r="Y76" s="9"/>
      <c r="Z76" s="10">
        <v>34.119999999999997</v>
      </c>
      <c r="AA76" s="11">
        <f t="shared" si="1"/>
        <v>0</v>
      </c>
      <c r="AB76" s="12">
        <f t="shared" si="1"/>
        <v>172.31</v>
      </c>
    </row>
    <row r="77" spans="1:28" ht="18.75" customHeight="1" thickBot="1" x14ac:dyDescent="0.35">
      <c r="A77" s="38" t="s">
        <v>50</v>
      </c>
      <c r="B77" s="2" t="s">
        <v>55</v>
      </c>
      <c r="C77" s="4"/>
      <c r="D77" s="7"/>
      <c r="E77" s="4"/>
      <c r="F77" s="7">
        <v>7</v>
      </c>
      <c r="G77" s="4"/>
      <c r="H77" s="7"/>
      <c r="I77" s="4"/>
      <c r="J77" s="7">
        <v>8</v>
      </c>
      <c r="K77" s="4"/>
      <c r="L77" s="7"/>
      <c r="M77" s="4"/>
      <c r="N77" s="7">
        <v>4</v>
      </c>
      <c r="O77" s="4"/>
      <c r="P77" s="7"/>
      <c r="Q77" s="4"/>
      <c r="R77" s="7">
        <v>5</v>
      </c>
      <c r="S77" s="4"/>
      <c r="T77" s="7"/>
      <c r="U77" s="4"/>
      <c r="V77" s="7">
        <v>0</v>
      </c>
      <c r="W77" s="4"/>
      <c r="X77" s="7"/>
      <c r="Y77" s="4"/>
      <c r="Z77" s="7">
        <v>10</v>
      </c>
      <c r="AA77" s="4">
        <f t="shared" si="1"/>
        <v>0</v>
      </c>
      <c r="AB77" s="7">
        <f t="shared" si="1"/>
        <v>34</v>
      </c>
    </row>
    <row r="78" spans="1:28" ht="18.75" customHeight="1" thickBot="1" x14ac:dyDescent="0.35">
      <c r="A78" s="39"/>
      <c r="B78" s="1" t="s">
        <v>16</v>
      </c>
      <c r="C78" s="9"/>
      <c r="D78" s="10"/>
      <c r="E78" s="9"/>
      <c r="F78" s="10">
        <v>27.39</v>
      </c>
      <c r="G78" s="9"/>
      <c r="H78" s="10"/>
      <c r="I78" s="9"/>
      <c r="J78" s="10">
        <v>28.44</v>
      </c>
      <c r="K78" s="9"/>
      <c r="L78" s="10"/>
      <c r="M78" s="9"/>
      <c r="N78" s="10">
        <v>27.77</v>
      </c>
      <c r="O78" s="9"/>
      <c r="P78" s="10"/>
      <c r="Q78" s="9"/>
      <c r="R78" s="10">
        <v>28.16</v>
      </c>
      <c r="S78" s="9"/>
      <c r="T78" s="10"/>
      <c r="U78" s="9"/>
      <c r="V78" s="10">
        <v>24.98</v>
      </c>
      <c r="W78" s="9"/>
      <c r="X78" s="10"/>
      <c r="Y78" s="9"/>
      <c r="Z78" s="10">
        <v>33.64</v>
      </c>
      <c r="AA78" s="11">
        <f t="shared" si="1"/>
        <v>0</v>
      </c>
      <c r="AB78" s="12">
        <f t="shared" si="1"/>
        <v>170.38</v>
      </c>
    </row>
    <row r="79" spans="1:28" ht="18.75" customHeight="1" thickBot="1" x14ac:dyDescent="0.35">
      <c r="A79" s="38" t="s">
        <v>51</v>
      </c>
      <c r="B79" s="2" t="s">
        <v>55</v>
      </c>
      <c r="C79" s="4"/>
      <c r="D79" s="7"/>
      <c r="E79" s="4"/>
      <c r="F79" s="7">
        <v>972</v>
      </c>
      <c r="G79" s="4"/>
      <c r="H79" s="7"/>
      <c r="I79" s="4"/>
      <c r="J79" s="7">
        <v>1129</v>
      </c>
      <c r="K79" s="4"/>
      <c r="L79" s="7"/>
      <c r="M79" s="4"/>
      <c r="N79" s="7">
        <v>522</v>
      </c>
      <c r="O79" s="4"/>
      <c r="P79" s="7"/>
      <c r="Q79" s="4"/>
      <c r="R79" s="7">
        <v>659</v>
      </c>
      <c r="S79" s="4"/>
      <c r="T79" s="7"/>
      <c r="U79" s="4"/>
      <c r="V79" s="7">
        <v>0</v>
      </c>
      <c r="W79" s="4"/>
      <c r="X79" s="7"/>
      <c r="Y79" s="4"/>
      <c r="Z79" s="7">
        <v>1308</v>
      </c>
      <c r="AA79" s="4">
        <f t="shared" si="1"/>
        <v>0</v>
      </c>
      <c r="AB79" s="7">
        <f t="shared" si="1"/>
        <v>4590</v>
      </c>
    </row>
    <row r="80" spans="1:28" ht="18.75" customHeight="1" thickBot="1" x14ac:dyDescent="0.35">
      <c r="A80" s="39"/>
      <c r="B80" s="1" t="s">
        <v>16</v>
      </c>
      <c r="C80" s="9"/>
      <c r="D80" s="10"/>
      <c r="E80" s="9"/>
      <c r="F80" s="10">
        <v>181.02</v>
      </c>
      <c r="G80" s="9"/>
      <c r="H80" s="10"/>
      <c r="I80" s="9"/>
      <c r="J80" s="10">
        <v>211.4</v>
      </c>
      <c r="K80" s="9"/>
      <c r="L80" s="10"/>
      <c r="M80" s="9"/>
      <c r="N80" s="10">
        <v>112.33</v>
      </c>
      <c r="O80" s="9"/>
      <c r="P80" s="10"/>
      <c r="Q80" s="9"/>
      <c r="R80" s="10">
        <v>134.97999999999999</v>
      </c>
      <c r="S80" s="9"/>
      <c r="T80" s="10"/>
      <c r="U80" s="9"/>
      <c r="V80" s="10">
        <v>24.98</v>
      </c>
      <c r="W80" s="9"/>
      <c r="X80" s="10"/>
      <c r="Y80" s="9"/>
      <c r="Z80" s="10">
        <v>247.05</v>
      </c>
      <c r="AA80" s="11">
        <f t="shared" si="1"/>
        <v>0</v>
      </c>
      <c r="AB80" s="12">
        <f t="shared" si="1"/>
        <v>911.76</v>
      </c>
    </row>
    <row r="81" spans="1:28" ht="18.75" customHeight="1" thickBot="1" x14ac:dyDescent="0.35">
      <c r="A81" s="38" t="s">
        <v>52</v>
      </c>
      <c r="B81" s="2" t="s">
        <v>55</v>
      </c>
      <c r="C81" s="4"/>
      <c r="D81" s="7"/>
      <c r="E81" s="4"/>
      <c r="F81" s="7">
        <v>672</v>
      </c>
      <c r="G81" s="4"/>
      <c r="H81" s="7"/>
      <c r="I81" s="4"/>
      <c r="J81" s="7"/>
      <c r="K81" s="4"/>
      <c r="L81" s="7">
        <v>780</v>
      </c>
      <c r="M81" s="4"/>
      <c r="N81" s="7"/>
      <c r="O81" s="4"/>
      <c r="P81" s="7">
        <v>361</v>
      </c>
      <c r="Q81" s="4"/>
      <c r="R81" s="7"/>
      <c r="S81" s="4"/>
      <c r="T81" s="7">
        <v>455</v>
      </c>
      <c r="U81" s="4"/>
      <c r="V81" s="7"/>
      <c r="W81" s="4"/>
      <c r="X81" s="7">
        <v>681</v>
      </c>
      <c r="Y81" s="4"/>
      <c r="Z81" s="7"/>
      <c r="AA81" s="4">
        <f t="shared" ref="AA81:AB102" si="2">C81+E81+G81+I81+K81+M81+O81+Q81+S81+U81+W81+Y81</f>
        <v>0</v>
      </c>
      <c r="AB81" s="7">
        <f t="shared" si="2"/>
        <v>2949</v>
      </c>
    </row>
    <row r="82" spans="1:28" ht="18.75" customHeight="1" thickBot="1" x14ac:dyDescent="0.35">
      <c r="A82" s="39"/>
      <c r="B82" s="1" t="s">
        <v>16</v>
      </c>
      <c r="C82" s="9"/>
      <c r="D82" s="10"/>
      <c r="E82" s="9"/>
      <c r="F82" s="10">
        <v>149.30000000000001</v>
      </c>
      <c r="G82" s="9"/>
      <c r="H82" s="10"/>
      <c r="I82" s="9"/>
      <c r="J82" s="10"/>
      <c r="K82" s="9"/>
      <c r="L82" s="10">
        <v>170.08</v>
      </c>
      <c r="M82" s="9"/>
      <c r="N82" s="10"/>
      <c r="O82" s="9"/>
      <c r="P82" s="10">
        <v>101.68</v>
      </c>
      <c r="Q82" s="9"/>
      <c r="R82" s="10"/>
      <c r="S82" s="9"/>
      <c r="T82" s="10">
        <v>119</v>
      </c>
      <c r="U82" s="9"/>
      <c r="V82" s="10"/>
      <c r="W82" s="9"/>
      <c r="X82" s="10">
        <v>158.6</v>
      </c>
      <c r="Y82" s="9"/>
      <c r="Z82" s="10"/>
      <c r="AA82" s="11">
        <f t="shared" si="2"/>
        <v>0</v>
      </c>
      <c r="AB82" s="12">
        <f t="shared" si="2"/>
        <v>698.66</v>
      </c>
    </row>
    <row r="83" spans="1:28" ht="18.75" customHeight="1" thickBot="1" x14ac:dyDescent="0.35">
      <c r="A83" s="38" t="s">
        <v>53</v>
      </c>
      <c r="B83" s="2" t="s">
        <v>55</v>
      </c>
      <c r="C83" s="4"/>
      <c r="D83" s="7">
        <v>172</v>
      </c>
      <c r="E83" s="4"/>
      <c r="F83" s="7"/>
      <c r="G83" s="4"/>
      <c r="H83" s="7">
        <v>143</v>
      </c>
      <c r="I83" s="4"/>
      <c r="J83" s="7"/>
      <c r="K83" s="4"/>
      <c r="L83" s="7">
        <v>167</v>
      </c>
      <c r="M83" s="4"/>
      <c r="N83" s="7"/>
      <c r="O83" s="4"/>
      <c r="P83" s="7">
        <v>156</v>
      </c>
      <c r="Q83" s="4"/>
      <c r="R83" s="7"/>
      <c r="S83" s="4"/>
      <c r="T83" s="7">
        <v>-138</v>
      </c>
      <c r="U83" s="4"/>
      <c r="V83" s="7"/>
      <c r="W83" s="4"/>
      <c r="X83" s="7">
        <v>99</v>
      </c>
      <c r="Y83" s="4"/>
      <c r="Z83" s="7"/>
      <c r="AA83" s="4">
        <f t="shared" si="2"/>
        <v>0</v>
      </c>
      <c r="AB83" s="7">
        <f t="shared" si="2"/>
        <v>599</v>
      </c>
    </row>
    <row r="84" spans="1:28" ht="18.75" customHeight="1" thickBot="1" x14ac:dyDescent="0.35">
      <c r="A84" s="39"/>
      <c r="B84" s="1" t="s">
        <v>16</v>
      </c>
      <c r="C84" s="9"/>
      <c r="D84" s="10">
        <v>49.22</v>
      </c>
      <c r="E84" s="9"/>
      <c r="F84" s="10"/>
      <c r="G84" s="9"/>
      <c r="H84" s="10">
        <v>45.95</v>
      </c>
      <c r="I84" s="9"/>
      <c r="J84" s="10"/>
      <c r="K84" s="9"/>
      <c r="L84" s="10">
        <v>50.1</v>
      </c>
      <c r="M84" s="9"/>
      <c r="N84" s="10"/>
      <c r="O84" s="9"/>
      <c r="P84" s="10">
        <v>48.23</v>
      </c>
      <c r="Q84" s="9"/>
      <c r="R84" s="10"/>
      <c r="S84" s="9"/>
      <c r="T84" s="10">
        <v>1.1599999999999999</v>
      </c>
      <c r="U84" s="9"/>
      <c r="V84" s="10"/>
      <c r="W84" s="9"/>
      <c r="X84" s="10">
        <v>39.700000000000003</v>
      </c>
      <c r="Y84" s="9"/>
      <c r="Z84" s="10"/>
      <c r="AA84" s="11">
        <f t="shared" si="2"/>
        <v>0</v>
      </c>
      <c r="AB84" s="12">
        <f t="shared" si="2"/>
        <v>234.36</v>
      </c>
    </row>
    <row r="85" spans="1:28" ht="18.75" customHeight="1" thickBot="1" x14ac:dyDescent="0.35">
      <c r="A85" s="38" t="s">
        <v>54</v>
      </c>
      <c r="B85" s="2" t="s">
        <v>55</v>
      </c>
      <c r="C85" s="4"/>
      <c r="D85" s="7">
        <f>16+394</f>
        <v>410</v>
      </c>
      <c r="E85" s="4"/>
      <c r="F85" s="7"/>
      <c r="G85" s="4"/>
      <c r="H85" s="7">
        <f>9+211</f>
        <v>220</v>
      </c>
      <c r="I85" s="4"/>
      <c r="J85" s="7"/>
      <c r="K85" s="4"/>
      <c r="L85" s="7">
        <f>0</f>
        <v>0</v>
      </c>
      <c r="M85" s="4"/>
      <c r="N85" s="7"/>
      <c r="O85" s="4"/>
      <c r="P85" s="7">
        <f>16+409</f>
        <v>425</v>
      </c>
      <c r="Q85" s="4"/>
      <c r="R85" s="7"/>
      <c r="S85" s="4"/>
      <c r="T85" s="7">
        <f>8+177</f>
        <v>185</v>
      </c>
      <c r="U85" s="4"/>
      <c r="V85" s="7"/>
      <c r="W85" s="4"/>
      <c r="X85" s="7">
        <v>0</v>
      </c>
      <c r="Y85" s="4"/>
      <c r="Z85" s="7"/>
      <c r="AA85" s="4">
        <f t="shared" si="2"/>
        <v>0</v>
      </c>
      <c r="AB85" s="7">
        <f t="shared" si="2"/>
        <v>1240</v>
      </c>
    </row>
    <row r="86" spans="1:28" ht="18.75" customHeight="1" thickBot="1" x14ac:dyDescent="0.35">
      <c r="A86" s="39"/>
      <c r="B86" s="1" t="s">
        <v>16</v>
      </c>
      <c r="C86" s="9"/>
      <c r="D86" s="10">
        <f>36.61+91.94</f>
        <v>128.55000000000001</v>
      </c>
      <c r="E86" s="9"/>
      <c r="F86" s="10"/>
      <c r="G86" s="9"/>
      <c r="H86" s="10">
        <f>32.91+60.87</f>
        <v>93.78</v>
      </c>
      <c r="I86" s="9"/>
      <c r="J86" s="10"/>
      <c r="K86" s="9"/>
      <c r="L86" s="10">
        <f>27.16+24.01</f>
        <v>51.17</v>
      </c>
      <c r="M86" s="9"/>
      <c r="N86" s="10"/>
      <c r="O86" s="9"/>
      <c r="P86" s="10">
        <f>37.62+96.99</f>
        <v>134.60999999999999</v>
      </c>
      <c r="Q86" s="9"/>
      <c r="R86" s="10"/>
      <c r="S86" s="9"/>
      <c r="T86" s="10">
        <f>34.86+57.05</f>
        <v>91.91</v>
      </c>
      <c r="U86" s="9"/>
      <c r="V86" s="10"/>
      <c r="W86" s="9"/>
      <c r="X86" s="10">
        <f>28.46+24.98</f>
        <v>53.44</v>
      </c>
      <c r="Y86" s="9"/>
      <c r="Z86" s="10"/>
      <c r="AA86" s="11">
        <f t="shared" si="2"/>
        <v>0</v>
      </c>
      <c r="AB86" s="12">
        <f t="shared" si="2"/>
        <v>553.46</v>
      </c>
    </row>
    <row r="87" spans="1:28" ht="18.75" customHeight="1" thickBot="1" x14ac:dyDescent="0.35">
      <c r="A87" s="38" t="s">
        <v>60</v>
      </c>
      <c r="B87" s="2" t="s">
        <v>55</v>
      </c>
      <c r="C87" s="4"/>
      <c r="D87" s="7"/>
      <c r="E87" s="4"/>
      <c r="F87" s="7">
        <v>183</v>
      </c>
      <c r="G87" s="4"/>
      <c r="H87" s="7"/>
      <c r="I87" s="4"/>
      <c r="J87" s="7">
        <v>181</v>
      </c>
      <c r="K87" s="4"/>
      <c r="L87" s="7"/>
      <c r="M87" s="4"/>
      <c r="N87" s="7">
        <v>183</v>
      </c>
      <c r="O87" s="4"/>
      <c r="P87" s="7"/>
      <c r="Q87" s="4"/>
      <c r="R87" s="7">
        <v>3</v>
      </c>
      <c r="S87" s="4"/>
      <c r="T87" s="7"/>
      <c r="U87" s="4"/>
      <c r="V87" s="7">
        <v>142</v>
      </c>
      <c r="W87" s="4"/>
      <c r="X87" s="7"/>
      <c r="Y87" s="4"/>
      <c r="Z87" s="7">
        <v>160</v>
      </c>
      <c r="AA87" s="4">
        <f t="shared" si="2"/>
        <v>0</v>
      </c>
      <c r="AB87" s="7">
        <f t="shared" si="2"/>
        <v>852</v>
      </c>
    </row>
    <row r="88" spans="1:28" ht="18.75" customHeight="1" thickBot="1" x14ac:dyDescent="0.35">
      <c r="A88" s="39"/>
      <c r="B88" s="1" t="s">
        <v>16</v>
      </c>
      <c r="C88" s="9"/>
      <c r="D88" s="10"/>
      <c r="E88" s="9"/>
      <c r="F88" s="10">
        <v>60.22</v>
      </c>
      <c r="G88" s="9"/>
      <c r="H88" s="10"/>
      <c r="I88" s="9"/>
      <c r="J88" s="10">
        <v>60.58</v>
      </c>
      <c r="K88" s="9"/>
      <c r="L88" s="10"/>
      <c r="M88" s="9"/>
      <c r="N88" s="10">
        <v>60.93</v>
      </c>
      <c r="O88" s="9"/>
      <c r="P88" s="10"/>
      <c r="Q88" s="9"/>
      <c r="R88" s="10">
        <v>33.159999999999997</v>
      </c>
      <c r="S88" s="9"/>
      <c r="T88" s="10"/>
      <c r="U88" s="9"/>
      <c r="V88" s="10">
        <v>56.01</v>
      </c>
      <c r="W88" s="9"/>
      <c r="X88" s="10"/>
      <c r="Y88" s="9"/>
      <c r="Z88" s="10">
        <v>59.04</v>
      </c>
      <c r="AA88" s="11">
        <f t="shared" si="2"/>
        <v>0</v>
      </c>
      <c r="AB88" s="12">
        <f t="shared" si="2"/>
        <v>329.94</v>
      </c>
    </row>
    <row r="89" spans="1:28" ht="18.75" customHeight="1" thickBot="1" x14ac:dyDescent="0.35">
      <c r="A89" s="36" t="s">
        <v>56</v>
      </c>
      <c r="B89" s="2" t="s">
        <v>55</v>
      </c>
      <c r="C89" s="4"/>
      <c r="D89" s="7">
        <v>3267</v>
      </c>
      <c r="E89" s="4"/>
      <c r="F89" s="7"/>
      <c r="G89" s="4"/>
      <c r="H89" s="7">
        <v>7061</v>
      </c>
      <c r="I89" s="4"/>
      <c r="J89" s="7"/>
      <c r="K89" s="4"/>
      <c r="L89" s="7">
        <v>5947</v>
      </c>
      <c r="M89" s="4"/>
      <c r="N89" s="7"/>
      <c r="O89" s="4"/>
      <c r="P89" s="7">
        <v>6740</v>
      </c>
      <c r="Q89" s="4"/>
      <c r="R89" s="7"/>
      <c r="S89" s="4"/>
      <c r="T89" s="7"/>
      <c r="U89" s="4"/>
      <c r="V89" s="7"/>
      <c r="W89" s="4"/>
      <c r="X89" s="7">
        <v>2175</v>
      </c>
      <c r="Y89" s="4"/>
      <c r="Z89" s="7"/>
      <c r="AA89" s="4">
        <f t="shared" si="2"/>
        <v>0</v>
      </c>
      <c r="AB89" s="7">
        <f t="shared" si="2"/>
        <v>25190</v>
      </c>
    </row>
    <row r="90" spans="1:28" ht="18.75" customHeight="1" thickBot="1" x14ac:dyDescent="0.35">
      <c r="A90" s="37"/>
      <c r="B90" s="1" t="s">
        <v>16</v>
      </c>
      <c r="C90" s="9"/>
      <c r="D90" s="10">
        <v>598.76</v>
      </c>
      <c r="E90" s="9"/>
      <c r="F90" s="10"/>
      <c r="G90" s="9"/>
      <c r="H90" s="10">
        <v>1362.66</v>
      </c>
      <c r="I90" s="9"/>
      <c r="J90" s="10"/>
      <c r="K90" s="9"/>
      <c r="L90" s="10">
        <v>1080.3599999999999</v>
      </c>
      <c r="M90" s="9"/>
      <c r="N90" s="10"/>
      <c r="O90" s="9"/>
      <c r="P90" s="10">
        <v>1098.06</v>
      </c>
      <c r="Q90" s="9"/>
      <c r="R90" s="10"/>
      <c r="S90" s="9"/>
      <c r="T90" s="10"/>
      <c r="U90" s="9"/>
      <c r="V90" s="10"/>
      <c r="W90" s="9"/>
      <c r="X90" s="10">
        <v>376.77</v>
      </c>
      <c r="Y90" s="9"/>
      <c r="Z90" s="10"/>
      <c r="AA90" s="11">
        <f t="shared" si="2"/>
        <v>0</v>
      </c>
      <c r="AB90" s="12">
        <f t="shared" si="2"/>
        <v>4516.6100000000006</v>
      </c>
    </row>
    <row r="91" spans="1:28" ht="18.75" customHeight="1" thickBot="1" x14ac:dyDescent="0.35">
      <c r="A91" s="36" t="s">
        <v>61</v>
      </c>
      <c r="B91" s="2" t="s">
        <v>55</v>
      </c>
      <c r="C91" s="4"/>
      <c r="D91" s="7">
        <v>326</v>
      </c>
      <c r="E91" s="4"/>
      <c r="F91" s="7"/>
      <c r="G91" s="4"/>
      <c r="H91" s="7">
        <v>407</v>
      </c>
      <c r="I91" s="4"/>
      <c r="J91" s="7"/>
      <c r="K91" s="4"/>
      <c r="L91" s="7">
        <v>231</v>
      </c>
      <c r="M91" s="4"/>
      <c r="N91" s="7"/>
      <c r="O91" s="4"/>
      <c r="P91" s="7">
        <v>305</v>
      </c>
      <c r="Q91" s="4"/>
      <c r="R91" s="7"/>
      <c r="S91" s="4"/>
      <c r="T91" s="7">
        <v>0</v>
      </c>
      <c r="U91" s="4"/>
      <c r="V91" s="7"/>
      <c r="W91" s="4"/>
      <c r="X91" s="7">
        <v>521</v>
      </c>
      <c r="Y91" s="4"/>
      <c r="Z91" s="7"/>
      <c r="AA91" s="4">
        <f t="shared" si="2"/>
        <v>0</v>
      </c>
      <c r="AB91" s="7">
        <f t="shared" si="2"/>
        <v>1790</v>
      </c>
    </row>
    <row r="92" spans="1:28" ht="18.75" customHeight="1" thickBot="1" x14ac:dyDescent="0.35">
      <c r="A92" s="37"/>
      <c r="B92" s="1" t="s">
        <v>16</v>
      </c>
      <c r="C92" s="9"/>
      <c r="D92" s="10">
        <v>93.69</v>
      </c>
      <c r="E92" s="9"/>
      <c r="F92" s="10"/>
      <c r="G92" s="9"/>
      <c r="H92" s="10">
        <v>107.52</v>
      </c>
      <c r="I92" s="9"/>
      <c r="J92" s="10"/>
      <c r="K92" s="9"/>
      <c r="L92" s="10">
        <v>80.48</v>
      </c>
      <c r="M92" s="9"/>
      <c r="N92" s="10"/>
      <c r="O92" s="9"/>
      <c r="P92" s="10">
        <v>92.57</v>
      </c>
      <c r="Q92" s="9"/>
      <c r="R92" s="10"/>
      <c r="S92" s="9"/>
      <c r="T92" s="10">
        <v>37.92</v>
      </c>
      <c r="U92" s="9"/>
      <c r="V92" s="10"/>
      <c r="W92" s="9"/>
      <c r="X92" s="10">
        <v>138.27000000000001</v>
      </c>
      <c r="Y92" s="9"/>
      <c r="Z92" s="10"/>
      <c r="AA92" s="11">
        <f t="shared" si="2"/>
        <v>0</v>
      </c>
      <c r="AB92" s="12">
        <f t="shared" si="2"/>
        <v>550.45000000000005</v>
      </c>
    </row>
    <row r="93" spans="1:28" ht="18.75" customHeight="1" thickBot="1" x14ac:dyDescent="0.35">
      <c r="A93" s="36" t="s">
        <v>62</v>
      </c>
      <c r="B93" s="2" t="s">
        <v>55</v>
      </c>
      <c r="C93" s="4"/>
      <c r="D93" s="7"/>
      <c r="E93" s="4"/>
      <c r="F93" s="7">
        <v>37</v>
      </c>
      <c r="G93" s="4"/>
      <c r="H93" s="7"/>
      <c r="I93" s="4"/>
      <c r="J93" s="7">
        <v>42</v>
      </c>
      <c r="K93" s="4"/>
      <c r="L93" s="7"/>
      <c r="M93" s="4"/>
      <c r="N93" s="7">
        <v>21</v>
      </c>
      <c r="O93" s="4"/>
      <c r="P93" s="7"/>
      <c r="Q93" s="4"/>
      <c r="R93" s="7">
        <v>27</v>
      </c>
      <c r="S93" s="4"/>
      <c r="T93" s="7"/>
      <c r="U93" s="4"/>
      <c r="V93" s="7">
        <v>0</v>
      </c>
      <c r="W93" s="4"/>
      <c r="X93" s="7"/>
      <c r="Y93" s="4"/>
      <c r="Z93" s="7"/>
      <c r="AA93" s="4">
        <f t="shared" si="2"/>
        <v>0</v>
      </c>
      <c r="AB93" s="7">
        <f t="shared" si="2"/>
        <v>127</v>
      </c>
    </row>
    <row r="94" spans="1:28" ht="18.75" customHeight="1" thickBot="1" x14ac:dyDescent="0.35">
      <c r="A94" s="37"/>
      <c r="B94" s="1" t="s">
        <v>16</v>
      </c>
      <c r="C94" s="9"/>
      <c r="D94" s="10"/>
      <c r="E94" s="9"/>
      <c r="F94" s="10">
        <v>27.8</v>
      </c>
      <c r="G94" s="9"/>
      <c r="H94" s="10"/>
      <c r="I94" s="9"/>
      <c r="J94" s="10">
        <v>29.65</v>
      </c>
      <c r="K94" s="9"/>
      <c r="L94" s="10"/>
      <c r="M94" s="9"/>
      <c r="N94" s="10">
        <v>26.2</v>
      </c>
      <c r="O94" s="9"/>
      <c r="P94" s="10"/>
      <c r="Q94" s="9"/>
      <c r="R94" s="10">
        <v>27.34</v>
      </c>
      <c r="S94" s="9"/>
      <c r="T94" s="10"/>
      <c r="U94" s="9"/>
      <c r="V94" s="10">
        <v>20.93</v>
      </c>
      <c r="W94" s="9"/>
      <c r="X94" s="10"/>
      <c r="Y94" s="9"/>
      <c r="Z94" s="10"/>
      <c r="AA94" s="11">
        <f t="shared" si="2"/>
        <v>0</v>
      </c>
      <c r="AB94" s="12">
        <f t="shared" si="2"/>
        <v>131.92000000000002</v>
      </c>
    </row>
    <row r="95" spans="1:28" ht="18.75" customHeight="1" thickBot="1" x14ac:dyDescent="0.35">
      <c r="A95" s="36" t="s">
        <v>63</v>
      </c>
      <c r="B95" s="2" t="s">
        <v>55</v>
      </c>
      <c r="C95" s="4">
        <v>0</v>
      </c>
      <c r="D95" s="7"/>
      <c r="E95" s="4">
        <v>0</v>
      </c>
      <c r="F95" s="7"/>
      <c r="G95" s="4">
        <v>0</v>
      </c>
      <c r="H95" s="7"/>
      <c r="I95" s="4">
        <v>0</v>
      </c>
      <c r="J95" s="7"/>
      <c r="K95" s="4">
        <v>0</v>
      </c>
      <c r="L95" s="7"/>
      <c r="M95" s="4">
        <v>0</v>
      </c>
      <c r="N95" s="7"/>
      <c r="O95" s="4">
        <v>0</v>
      </c>
      <c r="P95" s="7"/>
      <c r="Q95" s="4">
        <v>0</v>
      </c>
      <c r="R95" s="7"/>
      <c r="S95" s="4">
        <v>0</v>
      </c>
      <c r="T95" s="7"/>
      <c r="U95" s="4">
        <v>0</v>
      </c>
      <c r="V95" s="7"/>
      <c r="W95" s="4">
        <v>0</v>
      </c>
      <c r="X95" s="7"/>
      <c r="Y95" s="4">
        <v>0</v>
      </c>
      <c r="Z95" s="7"/>
      <c r="AA95" s="4">
        <f t="shared" si="2"/>
        <v>0</v>
      </c>
      <c r="AB95" s="7">
        <f t="shared" si="2"/>
        <v>0</v>
      </c>
    </row>
    <row r="96" spans="1:28" ht="18.75" customHeight="1" thickBot="1" x14ac:dyDescent="0.35">
      <c r="A96" s="37"/>
      <c r="B96" s="1" t="s">
        <v>16</v>
      </c>
      <c r="C96" s="9">
        <v>588.62</v>
      </c>
      <c r="D96" s="10"/>
      <c r="E96" s="9">
        <v>431.82</v>
      </c>
      <c r="F96" s="10"/>
      <c r="G96" s="9">
        <v>683.66</v>
      </c>
      <c r="H96" s="10"/>
      <c r="I96" s="9">
        <v>15.92</v>
      </c>
      <c r="J96" s="10"/>
      <c r="K96" s="9">
        <v>15.92</v>
      </c>
      <c r="L96" s="10"/>
      <c r="M96" s="9">
        <v>94.32</v>
      </c>
      <c r="N96" s="10"/>
      <c r="O96" s="9">
        <v>15.57</v>
      </c>
      <c r="P96" s="10"/>
      <c r="Q96" s="9">
        <v>169.81</v>
      </c>
      <c r="R96" s="10"/>
      <c r="S96" s="9">
        <v>93.65</v>
      </c>
      <c r="T96" s="10"/>
      <c r="U96" s="9">
        <v>93.65</v>
      </c>
      <c r="V96" s="10"/>
      <c r="W96" s="9">
        <v>93.65</v>
      </c>
      <c r="X96" s="10">
        <v>93.65</v>
      </c>
      <c r="Y96" s="9"/>
      <c r="Z96" s="10"/>
      <c r="AA96" s="11">
        <f t="shared" si="2"/>
        <v>2296.59</v>
      </c>
      <c r="AB96" s="12">
        <f t="shared" si="2"/>
        <v>93.65</v>
      </c>
    </row>
    <row r="97" spans="1:28" ht="18.75" customHeight="1" thickBot="1" x14ac:dyDescent="0.35">
      <c r="A97" s="38" t="s">
        <v>78</v>
      </c>
      <c r="B97" s="2" t="s">
        <v>55</v>
      </c>
      <c r="C97" s="4"/>
      <c r="D97" s="7"/>
      <c r="E97" s="4">
        <v>31893</v>
      </c>
      <c r="F97" s="7"/>
      <c r="G97" s="4"/>
      <c r="H97" s="7"/>
      <c r="I97" s="4"/>
      <c r="J97" s="7"/>
      <c r="K97" s="4"/>
      <c r="L97" s="7"/>
      <c r="M97" s="4">
        <v>175</v>
      </c>
      <c r="N97" s="7"/>
      <c r="O97" s="4"/>
      <c r="P97" s="7"/>
      <c r="Q97" s="4"/>
      <c r="R97" s="7"/>
      <c r="S97" s="4">
        <v>6243</v>
      </c>
      <c r="T97" s="7"/>
      <c r="U97" s="4"/>
      <c r="V97" s="7"/>
      <c r="W97" s="4">
        <v>5260</v>
      </c>
      <c r="X97" s="7">
        <v>2005</v>
      </c>
      <c r="Y97" s="4"/>
      <c r="Z97" s="7"/>
      <c r="AA97" s="4">
        <f t="shared" si="2"/>
        <v>43571</v>
      </c>
      <c r="AB97" s="7">
        <f t="shared" si="2"/>
        <v>2005</v>
      </c>
    </row>
    <row r="98" spans="1:28" ht="18.75" customHeight="1" thickBot="1" x14ac:dyDescent="0.35">
      <c r="A98" s="39"/>
      <c r="B98" s="1" t="s">
        <v>16</v>
      </c>
      <c r="C98" s="9"/>
      <c r="D98" s="10"/>
      <c r="E98" s="9">
        <v>1859.71</v>
      </c>
      <c r="F98" s="10"/>
      <c r="G98" s="9"/>
      <c r="H98" s="10"/>
      <c r="I98" s="9"/>
      <c r="J98" s="10"/>
      <c r="K98" s="9"/>
      <c r="L98" s="10"/>
      <c r="M98" s="9">
        <v>57.42</v>
      </c>
      <c r="N98" s="10"/>
      <c r="O98" s="9"/>
      <c r="P98" s="10"/>
      <c r="Q98" s="9"/>
      <c r="R98" s="10"/>
      <c r="S98" s="9">
        <v>790.52</v>
      </c>
      <c r="T98" s="10"/>
      <c r="U98" s="9"/>
      <c r="V98" s="10"/>
      <c r="W98" s="9">
        <v>705.43</v>
      </c>
      <c r="X98" s="10">
        <v>375.69</v>
      </c>
      <c r="Y98" s="9"/>
      <c r="Z98" s="10"/>
      <c r="AA98" s="11">
        <f t="shared" si="2"/>
        <v>3413.08</v>
      </c>
      <c r="AB98" s="12">
        <f t="shared" si="2"/>
        <v>375.69</v>
      </c>
    </row>
    <row r="99" spans="1:28" ht="18.75" customHeight="1" thickBot="1" x14ac:dyDescent="0.35">
      <c r="A99" s="36" t="s">
        <v>71</v>
      </c>
      <c r="B99" s="2" t="s">
        <v>55</v>
      </c>
      <c r="C99" s="4"/>
      <c r="D99" s="7"/>
      <c r="E99" s="4"/>
      <c r="F99" s="7"/>
      <c r="G99" s="4"/>
      <c r="H99" s="7"/>
      <c r="I99" s="4"/>
      <c r="J99" s="7"/>
      <c r="K99" s="4"/>
      <c r="L99" s="7"/>
      <c r="M99" s="4"/>
      <c r="N99" s="7"/>
      <c r="O99" s="4"/>
      <c r="P99" s="7"/>
      <c r="Q99" s="4"/>
      <c r="R99" s="7"/>
      <c r="S99" s="4"/>
      <c r="T99" s="7"/>
      <c r="U99" s="4"/>
      <c r="V99" s="7"/>
      <c r="W99" s="4"/>
      <c r="X99" s="7"/>
      <c r="Y99" s="4"/>
      <c r="Z99" s="7">
        <v>118</v>
      </c>
      <c r="AA99" s="4">
        <f t="shared" si="2"/>
        <v>0</v>
      </c>
      <c r="AB99" s="7">
        <f t="shared" si="2"/>
        <v>118</v>
      </c>
    </row>
    <row r="100" spans="1:28" ht="18.75" customHeight="1" thickBot="1" x14ac:dyDescent="0.35">
      <c r="A100" s="37"/>
      <c r="B100" s="1" t="s">
        <v>16</v>
      </c>
      <c r="C100" s="9"/>
      <c r="D100" s="10"/>
      <c r="E100" s="9"/>
      <c r="F100" s="10"/>
      <c r="G100" s="9"/>
      <c r="H100" s="10"/>
      <c r="I100" s="9"/>
      <c r="J100" s="10"/>
      <c r="K100" s="9"/>
      <c r="L100" s="10"/>
      <c r="M100" s="9"/>
      <c r="N100" s="10"/>
      <c r="O100" s="9"/>
      <c r="P100" s="10"/>
      <c r="Q100" s="9"/>
      <c r="R100" s="10"/>
      <c r="S100" s="9"/>
      <c r="T100" s="10"/>
      <c r="U100" s="9"/>
      <c r="V100" s="10"/>
      <c r="W100" s="9"/>
      <c r="X100" s="10"/>
      <c r="Y100" s="9"/>
      <c r="Z100" s="10">
        <v>71.14</v>
      </c>
      <c r="AA100" s="11">
        <f t="shared" si="2"/>
        <v>0</v>
      </c>
      <c r="AB100" s="12">
        <f t="shared" si="2"/>
        <v>71.14</v>
      </c>
    </row>
    <row r="101" spans="1:28" ht="18.75" customHeight="1" thickBot="1" x14ac:dyDescent="0.35">
      <c r="A101" s="38" t="s">
        <v>79</v>
      </c>
      <c r="B101" s="2" t="s">
        <v>55</v>
      </c>
      <c r="C101" s="4"/>
      <c r="D101" s="7"/>
      <c r="E101" s="4"/>
      <c r="F101" s="7">
        <v>5</v>
      </c>
      <c r="G101" s="4"/>
      <c r="H101" s="7"/>
      <c r="I101" s="4"/>
      <c r="J101" s="7">
        <v>6</v>
      </c>
      <c r="K101" s="4"/>
      <c r="L101" s="7"/>
      <c r="M101" s="4"/>
      <c r="N101" s="7">
        <v>3</v>
      </c>
      <c r="O101" s="4"/>
      <c r="P101" s="7"/>
      <c r="Q101" s="4"/>
      <c r="R101" s="7">
        <v>4</v>
      </c>
      <c r="S101" s="4"/>
      <c r="T101" s="7"/>
      <c r="U101" s="4"/>
      <c r="V101" s="7">
        <v>23</v>
      </c>
      <c r="W101" s="4"/>
      <c r="X101" s="7"/>
      <c r="Y101" s="4"/>
      <c r="Z101" s="7"/>
      <c r="AA101" s="4">
        <f t="shared" si="2"/>
        <v>0</v>
      </c>
      <c r="AB101" s="7">
        <f t="shared" si="2"/>
        <v>41</v>
      </c>
    </row>
    <row r="102" spans="1:28" ht="18.75" customHeight="1" thickBot="1" x14ac:dyDescent="0.35">
      <c r="A102" s="39"/>
      <c r="B102" s="1" t="s">
        <v>16</v>
      </c>
      <c r="C102" s="9"/>
      <c r="D102" s="10"/>
      <c r="E102" s="9"/>
      <c r="F102" s="10">
        <v>27.91</v>
      </c>
      <c r="G102" s="9"/>
      <c r="H102" s="10"/>
      <c r="I102" s="9"/>
      <c r="J102" s="10">
        <v>28.1</v>
      </c>
      <c r="K102" s="9"/>
      <c r="L102" s="10"/>
      <c r="M102" s="9"/>
      <c r="N102" s="10">
        <v>27.61</v>
      </c>
      <c r="O102" s="9"/>
      <c r="P102" s="10"/>
      <c r="Q102" s="9"/>
      <c r="R102" s="10">
        <v>29</v>
      </c>
      <c r="S102" s="9"/>
      <c r="T102" s="10"/>
      <c r="U102" s="9"/>
      <c r="V102" s="10">
        <v>32.119999999999997</v>
      </c>
      <c r="W102" s="9"/>
      <c r="X102" s="10"/>
      <c r="Y102" s="9"/>
      <c r="Z102" s="10"/>
      <c r="AA102" s="11">
        <f t="shared" si="2"/>
        <v>0</v>
      </c>
      <c r="AB102" s="12">
        <f t="shared" si="2"/>
        <v>144.74</v>
      </c>
    </row>
    <row r="103" spans="1:28" ht="18.75" customHeight="1" thickBot="1" x14ac:dyDescent="0.35">
      <c r="A103" s="34" t="s">
        <v>64</v>
      </c>
      <c r="B103" s="13" t="s">
        <v>55</v>
      </c>
      <c r="C103" s="14">
        <f>C5+C7+C9+C11+C13+C15+C17+C19+C21+C23+C25+C27+C29+C31+C33+C35+C37+C39+C41+C43+C45+C47+C49+C51+C53+C55+C57+C59+C61+C65+C67+C69+C71+C73+C75+C77+C79+C81+C83+C85+C87+C89+C91+C93+C95+C97+C99+C101</f>
        <v>14281</v>
      </c>
      <c r="D103" s="14">
        <f t="shared" ref="D103:Z103" si="3">D5+D7+D9+D11+D13+D15+D17+D19+D21+D23+D25+D27+D29+D31+D33+D35+D37+D39+D41+D43+D45+D47+D49+D51+D53+D55+D57+D59+D61+D65+D67+D69+D71+D73+D75+D77+D79+D81+D83+D85+D87+D89+D91+D93+D95+D97+D99+D101</f>
        <v>53277</v>
      </c>
      <c r="E103" s="14">
        <f>E97+E95+E57+E51+E29+E15+E9</f>
        <v>174956</v>
      </c>
      <c r="F103" s="14">
        <f t="shared" si="3"/>
        <v>22027</v>
      </c>
      <c r="G103" s="14">
        <f t="shared" si="3"/>
        <v>54872</v>
      </c>
      <c r="H103" s="14">
        <f t="shared" si="3"/>
        <v>78014</v>
      </c>
      <c r="I103" s="14">
        <f>I95+I25+I19+I5</f>
        <v>66125</v>
      </c>
      <c r="J103" s="14">
        <f t="shared" si="3"/>
        <v>15987</v>
      </c>
      <c r="K103" s="14">
        <f t="shared" si="3"/>
        <v>213874</v>
      </c>
      <c r="L103" s="14">
        <f t="shared" si="3"/>
        <v>49622</v>
      </c>
      <c r="M103" s="14">
        <f t="shared" si="3"/>
        <v>27686</v>
      </c>
      <c r="N103" s="14">
        <f t="shared" si="3"/>
        <v>13454</v>
      </c>
      <c r="O103" s="14">
        <f t="shared" si="3"/>
        <v>70949</v>
      </c>
      <c r="P103" s="14">
        <f t="shared" si="3"/>
        <v>61185</v>
      </c>
      <c r="Q103" s="14">
        <f t="shared" si="3"/>
        <v>11337</v>
      </c>
      <c r="R103" s="14">
        <f t="shared" si="3"/>
        <v>-8724</v>
      </c>
      <c r="S103" s="14">
        <f t="shared" si="3"/>
        <v>22451</v>
      </c>
      <c r="T103" s="14">
        <f t="shared" si="3"/>
        <v>14808</v>
      </c>
      <c r="U103" s="14">
        <f t="shared" si="3"/>
        <v>1890</v>
      </c>
      <c r="V103" s="14">
        <f>V101+V93+V87+V79+V77+V75+V65+V33+V25+V23+V15+V13+V9+V11+V7+V5</f>
        <v>8603</v>
      </c>
      <c r="W103" s="14">
        <f t="shared" si="3"/>
        <v>267242</v>
      </c>
      <c r="X103" s="14">
        <f t="shared" si="3"/>
        <v>84744</v>
      </c>
      <c r="Y103" s="14">
        <f t="shared" si="3"/>
        <v>0</v>
      </c>
      <c r="Z103" s="14">
        <f t="shared" si="3"/>
        <v>14241</v>
      </c>
      <c r="AA103" s="14">
        <f>Y103+W103+U103+S103+Q103+O103+M103+K103+I103+G103+E103+C103</f>
        <v>925663</v>
      </c>
      <c r="AB103" s="21">
        <f>Z103+X103+V103+T103+R103+P103+N103+L103+J103+H103+F103+D103</f>
        <v>407238</v>
      </c>
    </row>
    <row r="104" spans="1:28" ht="18.75" customHeight="1" thickBot="1" x14ac:dyDescent="0.35">
      <c r="A104" s="35"/>
      <c r="B104" s="16" t="s">
        <v>16</v>
      </c>
      <c r="C104" s="17">
        <f>C102+C100+C98+C96+C94+C92+C90+C88+C86+C84+C82+C80+C78+C76+C74+C72+C70+C68+C66+C62+C60+C58+C56+C54+C52+C50+C48+C46+C44+C42+C40+C38+C36+C34+C32+C30+C28+C26+C24+C22+C20+C18+C16+C14+C12+C10+C8+C6</f>
        <v>1369.33</v>
      </c>
      <c r="D104" s="17">
        <f t="shared" ref="D104:Z104" si="4">D102+D100+D98+D96+D94+D92+D90+D88+D86+D84+D82+D80+D78+D76+D74+D72+D70+D68+D66+D62+D60+D58+D56+D54+D52+D50+D48+D46+D44+D42+D40+D38+D36+D34+D32+D30+D28+D26+D24+D22+D20+D18+D16+D14+D12+D10+D8+D6</f>
        <v>10444.929999999998</v>
      </c>
      <c r="E104" s="17">
        <f t="shared" si="4"/>
        <v>10487.18</v>
      </c>
      <c r="F104" s="17">
        <f t="shared" si="4"/>
        <v>4973.07</v>
      </c>
      <c r="G104" s="17">
        <f t="shared" si="4"/>
        <v>3452.87</v>
      </c>
      <c r="H104" s="17">
        <f t="shared" si="4"/>
        <v>14168.41</v>
      </c>
      <c r="I104" s="17">
        <f t="shared" si="4"/>
        <v>3714.7200000000003</v>
      </c>
      <c r="J104" s="17">
        <f t="shared" si="4"/>
        <v>3611.96</v>
      </c>
      <c r="K104" s="17">
        <f t="shared" si="4"/>
        <v>11240.650000000001</v>
      </c>
      <c r="L104" s="17">
        <f t="shared" si="4"/>
        <v>9741.0399999999991</v>
      </c>
      <c r="M104" s="17">
        <f t="shared" si="4"/>
        <v>1711.95</v>
      </c>
      <c r="N104" s="17">
        <f t="shared" si="4"/>
        <v>3095.89</v>
      </c>
      <c r="O104" s="17">
        <f t="shared" si="4"/>
        <v>4416.93</v>
      </c>
      <c r="P104" s="17">
        <f t="shared" si="4"/>
        <v>11604.21</v>
      </c>
      <c r="Q104" s="17">
        <f t="shared" si="4"/>
        <v>1482.6000000000001</v>
      </c>
      <c r="R104" s="17">
        <f t="shared" si="4"/>
        <v>-463.11</v>
      </c>
      <c r="S104" s="17">
        <f t="shared" si="4"/>
        <v>1994.1</v>
      </c>
      <c r="T104" s="17">
        <f t="shared" si="4"/>
        <v>3851.73</v>
      </c>
      <c r="U104" s="17">
        <f t="shared" si="4"/>
        <v>393.97</v>
      </c>
      <c r="V104" s="17">
        <f t="shared" si="4"/>
        <v>2389.7199999999998</v>
      </c>
      <c r="W104" s="17">
        <f t="shared" si="4"/>
        <v>14629.84</v>
      </c>
      <c r="X104" s="17">
        <f t="shared" si="4"/>
        <v>15742.850000000002</v>
      </c>
      <c r="Y104" s="17">
        <f t="shared" si="4"/>
        <v>0</v>
      </c>
      <c r="Z104" s="17">
        <f t="shared" si="4"/>
        <v>3440.27</v>
      </c>
      <c r="AA104" s="17">
        <f>Y104+W104+U104+S104+Q104+O104+M104+K104+I104+G104+E104+C104</f>
        <v>54894.140000000007</v>
      </c>
      <c r="AB104" s="19">
        <f>Z104+X104+V104+T104+R104+P104+N104+L104+J104+H104+F104+D104</f>
        <v>82600.97</v>
      </c>
    </row>
  </sheetData>
  <mergeCells count="80">
    <mergeCell ref="AA3:AB3"/>
    <mergeCell ref="A1:AB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G63:H63"/>
    <mergeCell ref="I63:J63"/>
    <mergeCell ref="K63:L63"/>
    <mergeCell ref="A53:A54"/>
    <mergeCell ref="A55:A56"/>
    <mergeCell ref="A57:A58"/>
    <mergeCell ref="A59:A60"/>
    <mergeCell ref="A61:A62"/>
    <mergeCell ref="A63:A64"/>
    <mergeCell ref="A83:A84"/>
    <mergeCell ref="Y63:Z63"/>
    <mergeCell ref="AA63:AB63"/>
    <mergeCell ref="A65:A66"/>
    <mergeCell ref="A67:A68"/>
    <mergeCell ref="A69:A70"/>
    <mergeCell ref="A71:A72"/>
    <mergeCell ref="M63:N63"/>
    <mergeCell ref="O63:P63"/>
    <mergeCell ref="Q63:R63"/>
    <mergeCell ref="S63:T63"/>
    <mergeCell ref="U63:V63"/>
    <mergeCell ref="W63:X63"/>
    <mergeCell ref="B63:B64"/>
    <mergeCell ref="C63:D63"/>
    <mergeCell ref="E63:F63"/>
    <mergeCell ref="A73:A74"/>
    <mergeCell ref="A75:A76"/>
    <mergeCell ref="A77:A78"/>
    <mergeCell ref="A79:A80"/>
    <mergeCell ref="A81:A82"/>
    <mergeCell ref="A97:A98"/>
    <mergeCell ref="A99:A100"/>
    <mergeCell ref="A101:A102"/>
    <mergeCell ref="A103:A104"/>
    <mergeCell ref="A85:A86"/>
    <mergeCell ref="A87:A88"/>
    <mergeCell ref="A89:A90"/>
    <mergeCell ref="A91:A92"/>
    <mergeCell ref="A93:A94"/>
    <mergeCell ref="A95:A96"/>
  </mergeCells>
  <pageMargins left="0.25" right="0.25" top="0.75" bottom="0.75" header="0.3" footer="0.3"/>
  <pageSetup paperSize="8" scale="58" fitToHeight="0" orientation="landscape" r:id="rId1"/>
  <headerFooter>
    <oddFooter>&amp;CConsommation électricité et gaz  bâtiments communaux 2020</oddFooter>
  </headerFooter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D2C5-D647-4330-9290-02E8E70FC249}">
  <sheetPr>
    <pageSetUpPr fitToPage="1"/>
  </sheetPr>
  <dimension ref="A1:AB108"/>
  <sheetViews>
    <sheetView zoomScaleNormal="100" workbookViewId="0">
      <selection activeCell="O27" sqref="O27"/>
    </sheetView>
  </sheetViews>
  <sheetFormatPr baseColWidth="10" defaultRowHeight="14.4" x14ac:dyDescent="0.3"/>
  <cols>
    <col min="1" max="1" width="22.33203125" customWidth="1"/>
    <col min="6" max="6" width="12.33203125" customWidth="1"/>
    <col min="8" max="8" width="11.88671875" customWidth="1"/>
    <col min="10" max="10" width="11.6640625" customWidth="1"/>
    <col min="11" max="11" width="11.88671875" bestFit="1" customWidth="1"/>
    <col min="27" max="27" width="12" customWidth="1"/>
    <col min="28" max="28" width="11.88671875" customWidth="1"/>
  </cols>
  <sheetData>
    <row r="1" spans="1:28" ht="23.4" x14ac:dyDescent="0.45">
      <c r="A1" s="56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8.25" customHeight="1" thickBot="1" x14ac:dyDescent="0.35"/>
    <row r="3" spans="1:28" ht="15" thickBot="1" x14ac:dyDescent="0.35">
      <c r="A3" s="44" t="s">
        <v>1</v>
      </c>
      <c r="B3" s="46" t="s">
        <v>17</v>
      </c>
      <c r="C3" s="44" t="s">
        <v>2</v>
      </c>
      <c r="D3" s="48"/>
      <c r="E3" s="44" t="s">
        <v>3</v>
      </c>
      <c r="F3" s="48"/>
      <c r="G3" s="44" t="s">
        <v>4</v>
      </c>
      <c r="H3" s="48"/>
      <c r="I3" s="44" t="s">
        <v>5</v>
      </c>
      <c r="J3" s="48"/>
      <c r="K3" s="44" t="s">
        <v>6</v>
      </c>
      <c r="L3" s="48"/>
      <c r="M3" s="44" t="s">
        <v>7</v>
      </c>
      <c r="N3" s="48"/>
      <c r="O3" s="44" t="s">
        <v>8</v>
      </c>
      <c r="P3" s="48"/>
      <c r="Q3" s="44" t="s">
        <v>9</v>
      </c>
      <c r="R3" s="48"/>
      <c r="S3" s="44" t="s">
        <v>10</v>
      </c>
      <c r="T3" s="48"/>
      <c r="U3" s="44" t="s">
        <v>11</v>
      </c>
      <c r="V3" s="48"/>
      <c r="W3" s="44" t="s">
        <v>12</v>
      </c>
      <c r="X3" s="48"/>
      <c r="Y3" s="50" t="s">
        <v>13</v>
      </c>
      <c r="Z3" s="51"/>
      <c r="AA3" s="55" t="s">
        <v>64</v>
      </c>
      <c r="AB3" s="55"/>
    </row>
    <row r="4" spans="1:28" ht="15" thickBot="1" x14ac:dyDescent="0.35">
      <c r="A4" s="45"/>
      <c r="B4" s="47"/>
      <c r="C4" s="3" t="s">
        <v>14</v>
      </c>
      <c r="D4" s="6" t="s">
        <v>15</v>
      </c>
      <c r="E4" s="3" t="s">
        <v>14</v>
      </c>
      <c r="F4" s="6" t="s">
        <v>15</v>
      </c>
      <c r="G4" s="3" t="s">
        <v>14</v>
      </c>
      <c r="H4" s="6" t="s">
        <v>15</v>
      </c>
      <c r="I4" s="3" t="s">
        <v>14</v>
      </c>
      <c r="J4" s="6" t="s">
        <v>15</v>
      </c>
      <c r="K4" s="3" t="s">
        <v>14</v>
      </c>
      <c r="L4" s="6" t="s">
        <v>15</v>
      </c>
      <c r="M4" s="3" t="s">
        <v>14</v>
      </c>
      <c r="N4" s="6" t="s">
        <v>15</v>
      </c>
      <c r="O4" s="3" t="s">
        <v>14</v>
      </c>
      <c r="P4" s="6" t="s">
        <v>15</v>
      </c>
      <c r="Q4" s="3" t="s">
        <v>14</v>
      </c>
      <c r="R4" s="6" t="s">
        <v>15</v>
      </c>
      <c r="S4" s="3" t="s">
        <v>14</v>
      </c>
      <c r="T4" s="6" t="s">
        <v>15</v>
      </c>
      <c r="U4" s="3" t="s">
        <v>14</v>
      </c>
      <c r="V4" s="6" t="s">
        <v>15</v>
      </c>
      <c r="W4" s="3" t="s">
        <v>14</v>
      </c>
      <c r="X4" s="6" t="s">
        <v>15</v>
      </c>
      <c r="Y4" s="5" t="s">
        <v>14</v>
      </c>
      <c r="Z4" s="8" t="s">
        <v>15</v>
      </c>
      <c r="AA4" s="5" t="s">
        <v>14</v>
      </c>
      <c r="AB4" s="8" t="s">
        <v>15</v>
      </c>
    </row>
    <row r="5" spans="1:28" ht="20.25" customHeight="1" thickBot="1" x14ac:dyDescent="0.35">
      <c r="A5" s="36" t="s">
        <v>59</v>
      </c>
      <c r="B5" s="2" t="s">
        <v>55</v>
      </c>
      <c r="C5" s="4"/>
      <c r="D5" s="7"/>
      <c r="E5" s="4"/>
      <c r="F5" s="7">
        <v>517</v>
      </c>
      <c r="G5" s="4">
        <v>58180</v>
      </c>
      <c r="H5" s="7">
        <f>2594</f>
        <v>2594</v>
      </c>
      <c r="I5" s="4"/>
      <c r="J5" s="7">
        <v>1857</v>
      </c>
      <c r="K5" s="4"/>
      <c r="L5" s="7">
        <v>1</v>
      </c>
      <c r="M5" s="4">
        <v>33397</v>
      </c>
      <c r="N5" s="7">
        <v>1011</v>
      </c>
      <c r="O5" s="4"/>
      <c r="P5" s="7"/>
      <c r="Q5" s="4"/>
      <c r="R5" s="7">
        <v>1034</v>
      </c>
      <c r="S5" s="4">
        <v>2478</v>
      </c>
      <c r="T5" s="7"/>
      <c r="U5" s="4"/>
      <c r="V5" s="7">
        <v>1017</v>
      </c>
      <c r="W5" s="4">
        <v>5635</v>
      </c>
      <c r="X5" s="7"/>
      <c r="Y5" s="4">
        <v>14162</v>
      </c>
      <c r="Z5" s="7">
        <v>1639</v>
      </c>
      <c r="AA5" s="4">
        <f>C5+E5+G5+I5+K5+M5+O5+Q5+S5+U5+W5+Y5</f>
        <v>113852</v>
      </c>
      <c r="AB5" s="7">
        <f>D5+F5+H5+J5+L5+N5+P5+R5+T5+V5+X5+Z5</f>
        <v>9670</v>
      </c>
    </row>
    <row r="6" spans="1:28" ht="20.25" customHeight="1" thickBot="1" x14ac:dyDescent="0.35">
      <c r="A6" s="37"/>
      <c r="B6" s="1" t="s">
        <v>16</v>
      </c>
      <c r="C6" s="9"/>
      <c r="D6" s="10"/>
      <c r="E6" s="9"/>
      <c r="F6" s="10">
        <v>142.84</v>
      </c>
      <c r="G6" s="9">
        <v>2914.13</v>
      </c>
      <c r="H6" s="10">
        <f>40.74+461.49</f>
        <v>502.23</v>
      </c>
      <c r="I6" s="9"/>
      <c r="J6" s="10">
        <v>413.64</v>
      </c>
      <c r="K6" s="9"/>
      <c r="L6" s="10">
        <v>23.59</v>
      </c>
      <c r="M6" s="9">
        <v>1819.15</v>
      </c>
      <c r="N6" s="10">
        <v>215.62</v>
      </c>
      <c r="O6" s="9"/>
      <c r="P6" s="10"/>
      <c r="Q6" s="9"/>
      <c r="R6" s="10">
        <v>228.67</v>
      </c>
      <c r="S6" s="9">
        <v>452.28</v>
      </c>
      <c r="T6" s="10"/>
      <c r="U6" s="9"/>
      <c r="V6" s="10">
        <v>222.89</v>
      </c>
      <c r="W6" s="9">
        <v>469.58</v>
      </c>
      <c r="X6" s="10"/>
      <c r="Y6" s="9">
        <v>2050.37</v>
      </c>
      <c r="Z6" s="10">
        <v>325.83999999999997</v>
      </c>
      <c r="AA6" s="11">
        <f t="shared" ref="AA6:AB62" si="0">C6+E6+G6+I6+K6+M6+O6+Q6+S6+U6+W6+Y6</f>
        <v>7705.51</v>
      </c>
      <c r="AB6" s="12">
        <f t="shared" si="0"/>
        <v>2075.3200000000002</v>
      </c>
    </row>
    <row r="7" spans="1:28" ht="20.25" customHeight="1" thickBot="1" x14ac:dyDescent="0.35">
      <c r="A7" s="36" t="s">
        <v>18</v>
      </c>
      <c r="B7" s="2" t="s">
        <v>55</v>
      </c>
      <c r="C7" s="4"/>
      <c r="D7" s="7">
        <v>1431</v>
      </c>
      <c r="E7" s="4"/>
      <c r="F7" s="7">
        <v>4415</v>
      </c>
      <c r="G7" s="4"/>
      <c r="H7" s="7">
        <v>2242</v>
      </c>
      <c r="I7" s="4"/>
      <c r="J7" s="7">
        <v>1658</v>
      </c>
      <c r="K7" s="4">
        <v>0</v>
      </c>
      <c r="L7" s="7">
        <v>859</v>
      </c>
      <c r="M7" s="4"/>
      <c r="N7" s="7">
        <v>818</v>
      </c>
      <c r="O7" s="4"/>
      <c r="P7" s="7">
        <v>674</v>
      </c>
      <c r="Q7" s="4"/>
      <c r="R7" s="7">
        <v>673</v>
      </c>
      <c r="S7" s="4"/>
      <c r="T7" s="7">
        <v>672</v>
      </c>
      <c r="U7" s="4"/>
      <c r="V7" s="7">
        <v>796</v>
      </c>
      <c r="W7" s="4"/>
      <c r="X7" s="7">
        <v>565</v>
      </c>
      <c r="Y7" s="4"/>
      <c r="Z7" s="7"/>
      <c r="AA7" s="4">
        <f t="shared" si="0"/>
        <v>0</v>
      </c>
      <c r="AB7" s="7">
        <f t="shared" si="0"/>
        <v>14803</v>
      </c>
    </row>
    <row r="8" spans="1:28" ht="20.25" customHeight="1" thickBot="1" x14ac:dyDescent="0.35">
      <c r="A8" s="37"/>
      <c r="B8" s="1" t="s">
        <v>16</v>
      </c>
      <c r="C8" s="9"/>
      <c r="D8" s="10">
        <v>495.55</v>
      </c>
      <c r="E8" s="9"/>
      <c r="F8" s="10">
        <v>1084.06</v>
      </c>
      <c r="G8" s="9"/>
      <c r="H8" s="10">
        <v>640.46</v>
      </c>
      <c r="I8" s="9"/>
      <c r="J8" s="10">
        <v>534.29999999999995</v>
      </c>
      <c r="K8" s="9">
        <v>15.5</v>
      </c>
      <c r="L8" s="10">
        <v>323.36</v>
      </c>
      <c r="M8" s="9"/>
      <c r="N8" s="10">
        <v>324.08999999999997</v>
      </c>
      <c r="O8" s="9"/>
      <c r="P8" s="10">
        <v>299.77</v>
      </c>
      <c r="Q8" s="9"/>
      <c r="R8" s="10">
        <v>287.47000000000003</v>
      </c>
      <c r="S8" s="9"/>
      <c r="T8" s="10">
        <v>284.22000000000003</v>
      </c>
      <c r="U8" s="9"/>
      <c r="V8" s="10">
        <v>295.64</v>
      </c>
      <c r="W8" s="9"/>
      <c r="X8" s="10">
        <v>290.92</v>
      </c>
      <c r="Y8" s="9"/>
      <c r="Z8" s="10"/>
      <c r="AA8" s="11">
        <f t="shared" si="0"/>
        <v>15.5</v>
      </c>
      <c r="AB8" s="12">
        <f t="shared" si="0"/>
        <v>4859.8400000000011</v>
      </c>
    </row>
    <row r="9" spans="1:28" ht="20.25" customHeight="1" thickBot="1" x14ac:dyDescent="0.35">
      <c r="A9" s="36" t="s">
        <v>19</v>
      </c>
      <c r="B9" s="2" t="s">
        <v>55</v>
      </c>
      <c r="C9" s="4"/>
      <c r="D9" s="7">
        <v>1585</v>
      </c>
      <c r="E9" s="4">
        <v>1732</v>
      </c>
      <c r="F9" s="7">
        <v>1439</v>
      </c>
      <c r="G9" s="4"/>
      <c r="H9" s="7">
        <v>967</v>
      </c>
      <c r="I9" s="4"/>
      <c r="J9" s="7">
        <v>904</v>
      </c>
      <c r="K9" s="4">
        <v>20786</v>
      </c>
      <c r="L9" s="7">
        <v>616</v>
      </c>
      <c r="M9" s="4"/>
      <c r="N9" s="7">
        <v>539</v>
      </c>
      <c r="O9" s="4"/>
      <c r="P9" s="7">
        <v>643</v>
      </c>
      <c r="Q9" s="4">
        <v>24898</v>
      </c>
      <c r="R9" s="7">
        <v>402</v>
      </c>
      <c r="S9" s="4"/>
      <c r="T9" s="7">
        <v>654</v>
      </c>
      <c r="U9" s="4"/>
      <c r="V9" s="7">
        <v>558</v>
      </c>
      <c r="W9" s="4">
        <v>29345</v>
      </c>
      <c r="X9" s="7">
        <v>776</v>
      </c>
      <c r="Y9" s="4">
        <v>0</v>
      </c>
      <c r="Z9" s="7">
        <v>794</v>
      </c>
      <c r="AA9" s="4">
        <f t="shared" si="0"/>
        <v>76761</v>
      </c>
      <c r="AB9" s="7">
        <f t="shared" si="0"/>
        <v>9877</v>
      </c>
    </row>
    <row r="10" spans="1:28" ht="20.25" customHeight="1" thickBot="1" x14ac:dyDescent="0.35">
      <c r="A10" s="37"/>
      <c r="B10" s="1" t="s">
        <v>16</v>
      </c>
      <c r="C10" s="9"/>
      <c r="D10" s="10">
        <v>480.54</v>
      </c>
      <c r="E10" s="9">
        <v>746.35</v>
      </c>
      <c r="F10" s="10">
        <v>452.65</v>
      </c>
      <c r="G10" s="9"/>
      <c r="H10" s="10">
        <v>348.88</v>
      </c>
      <c r="I10" s="9"/>
      <c r="J10" s="10">
        <v>350.75</v>
      </c>
      <c r="K10" s="9">
        <v>1271.53</v>
      </c>
      <c r="L10" s="10">
        <v>274.13</v>
      </c>
      <c r="M10" s="9"/>
      <c r="N10" s="10">
        <v>250.19</v>
      </c>
      <c r="O10" s="9"/>
      <c r="P10" s="10">
        <v>260.27</v>
      </c>
      <c r="Q10" s="9">
        <v>1819.73</v>
      </c>
      <c r="R10" s="10">
        <v>209.17</v>
      </c>
      <c r="S10" s="9"/>
      <c r="T10" s="10">
        <v>242.32</v>
      </c>
      <c r="U10" s="9"/>
      <c r="V10" s="10">
        <v>225.6</v>
      </c>
      <c r="W10" s="9">
        <v>2357.14</v>
      </c>
      <c r="X10" s="10">
        <v>278.44</v>
      </c>
      <c r="Y10" s="9">
        <v>248.01</v>
      </c>
      <c r="Z10" s="10">
        <v>313.88</v>
      </c>
      <c r="AA10" s="11">
        <f t="shared" si="0"/>
        <v>6442.76</v>
      </c>
      <c r="AB10" s="12">
        <f t="shared" si="0"/>
        <v>3686.8200000000006</v>
      </c>
    </row>
    <row r="11" spans="1:28" ht="20.25" customHeight="1" thickBot="1" x14ac:dyDescent="0.35">
      <c r="A11" s="36" t="s">
        <v>20</v>
      </c>
      <c r="B11" s="2" t="s">
        <v>55</v>
      </c>
      <c r="C11" s="4"/>
      <c r="D11" s="7"/>
      <c r="E11" s="4"/>
      <c r="F11" s="7">
        <v>6942</v>
      </c>
      <c r="G11" s="4"/>
      <c r="H11" s="7">
        <v>4340</v>
      </c>
      <c r="I11" s="4"/>
      <c r="J11" s="7">
        <v>2995</v>
      </c>
      <c r="K11" s="4"/>
      <c r="L11" s="7"/>
      <c r="M11" s="4"/>
      <c r="N11" s="7">
        <v>1715</v>
      </c>
      <c r="O11" s="4"/>
      <c r="P11" s="7"/>
      <c r="Q11" s="4"/>
      <c r="R11" s="7">
        <v>835</v>
      </c>
      <c r="S11" s="4"/>
      <c r="T11" s="7"/>
      <c r="U11" s="4"/>
      <c r="V11" s="7">
        <v>916</v>
      </c>
      <c r="W11" s="4"/>
      <c r="X11" s="7"/>
      <c r="Y11" s="4"/>
      <c r="Z11" s="7">
        <v>2087</v>
      </c>
      <c r="AA11" s="4">
        <f t="shared" si="0"/>
        <v>0</v>
      </c>
      <c r="AB11" s="7">
        <f t="shared" si="0"/>
        <v>19830</v>
      </c>
    </row>
    <row r="12" spans="1:28" ht="20.25" customHeight="1" thickBot="1" x14ac:dyDescent="0.35">
      <c r="A12" s="37"/>
      <c r="B12" s="1" t="s">
        <v>16</v>
      </c>
      <c r="C12" s="9"/>
      <c r="D12" s="10"/>
      <c r="E12" s="9"/>
      <c r="F12" s="10">
        <v>1238.29</v>
      </c>
      <c r="G12" s="9"/>
      <c r="H12" s="10">
        <v>751.55</v>
      </c>
      <c r="I12" s="9"/>
      <c r="J12" s="10">
        <v>553.88</v>
      </c>
      <c r="K12" s="9"/>
      <c r="L12" s="10"/>
      <c r="M12" s="9"/>
      <c r="N12" s="10">
        <v>343.52</v>
      </c>
      <c r="O12" s="9"/>
      <c r="P12" s="10"/>
      <c r="Q12" s="9"/>
      <c r="R12" s="10">
        <v>208.01</v>
      </c>
      <c r="S12" s="9"/>
      <c r="T12" s="10"/>
      <c r="U12" s="9"/>
      <c r="V12" s="10">
        <v>219.04</v>
      </c>
      <c r="W12" s="9"/>
      <c r="X12" s="10"/>
      <c r="Y12" s="9"/>
      <c r="Z12" s="10">
        <v>412.86</v>
      </c>
      <c r="AA12" s="11">
        <f t="shared" si="0"/>
        <v>0</v>
      </c>
      <c r="AB12" s="12">
        <f t="shared" si="0"/>
        <v>3727.15</v>
      </c>
    </row>
    <row r="13" spans="1:28" ht="20.25" customHeight="1" thickBot="1" x14ac:dyDescent="0.35">
      <c r="A13" s="38" t="s">
        <v>21</v>
      </c>
      <c r="B13" s="2" t="s">
        <v>55</v>
      </c>
      <c r="C13" s="4"/>
      <c r="D13" s="7"/>
      <c r="E13" s="4"/>
      <c r="F13" s="7">
        <v>7437</v>
      </c>
      <c r="G13" s="4"/>
      <c r="H13" s="7">
        <f>6807+9154</f>
        <v>15961</v>
      </c>
      <c r="I13" s="4"/>
      <c r="J13" s="7">
        <v>8266</v>
      </c>
      <c r="K13" s="4"/>
      <c r="L13" s="7">
        <v>6061</v>
      </c>
      <c r="M13" s="4"/>
      <c r="N13" s="7">
        <f>5641+1726</f>
        <v>7367</v>
      </c>
      <c r="O13" s="4"/>
      <c r="P13" s="7"/>
      <c r="Q13" s="4"/>
      <c r="R13" s="7">
        <f>1384+0</f>
        <v>1384</v>
      </c>
      <c r="S13" s="4"/>
      <c r="T13" s="7"/>
      <c r="U13" s="4"/>
      <c r="V13" s="7">
        <f>9482+1001</f>
        <v>10483</v>
      </c>
      <c r="W13" s="4"/>
      <c r="X13" s="7"/>
      <c r="Y13" s="4"/>
      <c r="Z13" s="7">
        <v>5198</v>
      </c>
      <c r="AA13" s="4">
        <f t="shared" si="0"/>
        <v>0</v>
      </c>
      <c r="AB13" s="7">
        <f t="shared" si="0"/>
        <v>62157</v>
      </c>
    </row>
    <row r="14" spans="1:28" ht="20.25" customHeight="1" thickBot="1" x14ac:dyDescent="0.35">
      <c r="A14" s="54"/>
      <c r="B14" s="1" t="s">
        <v>16</v>
      </c>
      <c r="C14" s="9"/>
      <c r="D14" s="10"/>
      <c r="E14" s="9"/>
      <c r="F14" s="10">
        <v>1319.62</v>
      </c>
      <c r="G14" s="9"/>
      <c r="H14" s="10">
        <f>1135.2+1557.75</f>
        <v>2692.95</v>
      </c>
      <c r="I14" s="9"/>
      <c r="J14" s="10">
        <v>1556.5</v>
      </c>
      <c r="K14" s="9"/>
      <c r="L14" s="10">
        <v>1096.1099999999999</v>
      </c>
      <c r="M14" s="9"/>
      <c r="N14" s="10">
        <f>1020.27+293.66</f>
        <v>1313.93</v>
      </c>
      <c r="O14" s="9"/>
      <c r="P14" s="10"/>
      <c r="Q14" s="9"/>
      <c r="R14" s="10">
        <f>324.01+79.53</f>
        <v>403.53999999999996</v>
      </c>
      <c r="S14" s="9"/>
      <c r="T14" s="10"/>
      <c r="U14" s="9"/>
      <c r="V14" s="10">
        <f>1637.04+233.13</f>
        <v>1870.17</v>
      </c>
      <c r="W14" s="9"/>
      <c r="X14" s="10"/>
      <c r="Y14" s="9"/>
      <c r="Z14" s="10">
        <v>927.72</v>
      </c>
      <c r="AA14" s="11">
        <f t="shared" si="0"/>
        <v>0</v>
      </c>
      <c r="AB14" s="12">
        <f t="shared" si="0"/>
        <v>11180.539999999999</v>
      </c>
    </row>
    <row r="15" spans="1:28" ht="20.25" customHeight="1" thickBot="1" x14ac:dyDescent="0.35">
      <c r="A15" s="36" t="s">
        <v>22</v>
      </c>
      <c r="B15" s="2" t="s">
        <v>55</v>
      </c>
      <c r="C15" s="4"/>
      <c r="D15" s="7"/>
      <c r="E15" s="4">
        <v>94891</v>
      </c>
      <c r="F15" s="7"/>
      <c r="G15" s="4"/>
      <c r="H15" s="7">
        <v>4981</v>
      </c>
      <c r="I15" s="4"/>
      <c r="J15" s="7">
        <v>2364</v>
      </c>
      <c r="K15" s="4">
        <v>57802</v>
      </c>
      <c r="L15" s="7"/>
      <c r="M15" s="4"/>
      <c r="N15" s="7">
        <v>2064</v>
      </c>
      <c r="O15" s="4"/>
      <c r="P15" s="7"/>
      <c r="Q15" s="4">
        <v>-1817</v>
      </c>
      <c r="R15" s="7">
        <v>0</v>
      </c>
      <c r="S15" s="4"/>
      <c r="T15" s="7"/>
      <c r="U15" s="4"/>
      <c r="V15" s="7">
        <v>3469</v>
      </c>
      <c r="W15" s="4">
        <v>50765</v>
      </c>
      <c r="X15" s="7"/>
      <c r="Y15" s="4"/>
      <c r="Z15" s="7">
        <v>1905</v>
      </c>
      <c r="AA15" s="4">
        <f t="shared" si="0"/>
        <v>201641</v>
      </c>
      <c r="AB15" s="7">
        <f t="shared" si="0"/>
        <v>14783</v>
      </c>
    </row>
    <row r="16" spans="1:28" ht="20.25" customHeight="1" thickBot="1" x14ac:dyDescent="0.35">
      <c r="A16" s="37"/>
      <c r="B16" s="1" t="s">
        <v>16</v>
      </c>
      <c r="C16" s="9"/>
      <c r="D16" s="10"/>
      <c r="E16" s="9">
        <v>5158.95</v>
      </c>
      <c r="F16" s="10"/>
      <c r="G16" s="9"/>
      <c r="H16" s="10">
        <v>864.91</v>
      </c>
      <c r="I16" s="9"/>
      <c r="J16" s="10">
        <v>461.29</v>
      </c>
      <c r="K16" s="9">
        <v>3084.33</v>
      </c>
      <c r="L16" s="10"/>
      <c r="M16" s="9"/>
      <c r="N16" s="10">
        <v>410.97</v>
      </c>
      <c r="O16" s="9"/>
      <c r="P16" s="10"/>
      <c r="Q16" s="9">
        <v>571.16999999999996</v>
      </c>
      <c r="R16" s="10">
        <v>68.09</v>
      </c>
      <c r="S16" s="9"/>
      <c r="T16" s="10"/>
      <c r="U16" s="9"/>
      <c r="V16" s="10">
        <v>669.92</v>
      </c>
      <c r="W16" s="9">
        <v>3641.97</v>
      </c>
      <c r="X16" s="10"/>
      <c r="Y16" s="9"/>
      <c r="Z16" s="10">
        <v>394.68</v>
      </c>
      <c r="AA16" s="11">
        <f t="shared" si="0"/>
        <v>12456.419999999998</v>
      </c>
      <c r="AB16" s="12">
        <f t="shared" si="0"/>
        <v>2869.8599999999997</v>
      </c>
    </row>
    <row r="17" spans="1:28" ht="20.25" customHeight="1" thickBot="1" x14ac:dyDescent="0.35">
      <c r="A17" s="36" t="s">
        <v>23</v>
      </c>
      <c r="B17" s="2" t="s">
        <v>55</v>
      </c>
      <c r="C17" s="4"/>
      <c r="D17" s="7"/>
      <c r="E17" s="4"/>
      <c r="F17" s="7"/>
      <c r="G17" s="4"/>
      <c r="H17" s="7">
        <f>15556+6987</f>
        <v>22543</v>
      </c>
      <c r="I17" s="4"/>
      <c r="J17" s="7"/>
      <c r="K17" s="4"/>
      <c r="L17" s="7">
        <v>8912</v>
      </c>
      <c r="M17" s="4"/>
      <c r="N17" s="7">
        <v>36</v>
      </c>
      <c r="O17" s="4"/>
      <c r="P17" s="7">
        <v>8617</v>
      </c>
      <c r="Q17" s="4"/>
      <c r="R17" s="7">
        <v>34</v>
      </c>
      <c r="S17" s="4"/>
      <c r="T17" s="7">
        <v>9091</v>
      </c>
      <c r="U17" s="4"/>
      <c r="V17" s="7">
        <v>121</v>
      </c>
      <c r="W17" s="4"/>
      <c r="X17" s="7">
        <v>9482</v>
      </c>
      <c r="Y17" s="4"/>
      <c r="Z17" s="7">
        <v>38</v>
      </c>
      <c r="AA17" s="4">
        <f t="shared" si="0"/>
        <v>0</v>
      </c>
      <c r="AB17" s="7">
        <f t="shared" si="0"/>
        <v>58874</v>
      </c>
    </row>
    <row r="18" spans="1:28" ht="20.25" customHeight="1" thickBot="1" x14ac:dyDescent="0.35">
      <c r="A18" s="37"/>
      <c r="B18" s="1" t="s">
        <v>16</v>
      </c>
      <c r="C18" s="9"/>
      <c r="D18" s="10"/>
      <c r="E18" s="9"/>
      <c r="F18" s="10"/>
      <c r="G18" s="9"/>
      <c r="H18" s="10">
        <f>2720.66+1221.42</f>
        <v>3942.08</v>
      </c>
      <c r="I18" s="9"/>
      <c r="J18" s="10"/>
      <c r="K18" s="9"/>
      <c r="L18" s="10">
        <v>1559.51</v>
      </c>
      <c r="M18" s="9"/>
      <c r="N18" s="10">
        <v>34.369999999999997</v>
      </c>
      <c r="O18" s="9"/>
      <c r="P18" s="10">
        <v>1510.03</v>
      </c>
      <c r="Q18" s="9"/>
      <c r="R18" s="10">
        <v>36.9</v>
      </c>
      <c r="S18" s="9"/>
      <c r="T18" s="10">
        <v>1600.12</v>
      </c>
      <c r="U18" s="9"/>
      <c r="V18" s="10">
        <v>50.74</v>
      </c>
      <c r="W18" s="9"/>
      <c r="X18" s="10">
        <v>1648.48</v>
      </c>
      <c r="Y18" s="9"/>
      <c r="Z18" s="10">
        <v>35.380000000000003</v>
      </c>
      <c r="AA18" s="11">
        <f t="shared" si="0"/>
        <v>0</v>
      </c>
      <c r="AB18" s="12">
        <f t="shared" si="0"/>
        <v>10417.609999999997</v>
      </c>
    </row>
    <row r="19" spans="1:28" ht="20.25" customHeight="1" thickBot="1" x14ac:dyDescent="0.35">
      <c r="A19" s="36" t="s">
        <v>24</v>
      </c>
      <c r="B19" s="2" t="s">
        <v>55</v>
      </c>
      <c r="C19" s="4">
        <v>12706</v>
      </c>
      <c r="D19" s="7"/>
      <c r="E19" s="4"/>
      <c r="F19" s="7"/>
      <c r="G19" s="4"/>
      <c r="H19" s="7"/>
      <c r="I19" s="4">
        <v>13351</v>
      </c>
      <c r="J19" s="7"/>
      <c r="K19" s="4"/>
      <c r="L19" s="7"/>
      <c r="M19" s="4"/>
      <c r="N19" s="7"/>
      <c r="O19" s="4">
        <v>6243</v>
      </c>
      <c r="P19" s="7"/>
      <c r="Q19" s="4"/>
      <c r="R19" s="7"/>
      <c r="S19" s="4"/>
      <c r="T19" s="7"/>
      <c r="U19" s="4">
        <v>2241</v>
      </c>
      <c r="V19" s="7"/>
      <c r="W19" s="4">
        <v>3786</v>
      </c>
      <c r="X19" s="7"/>
      <c r="Y19" s="4"/>
      <c r="Z19" s="7"/>
      <c r="AA19" s="4">
        <f t="shared" si="0"/>
        <v>38327</v>
      </c>
      <c r="AB19" s="7">
        <f t="shared" si="0"/>
        <v>0</v>
      </c>
    </row>
    <row r="20" spans="1:28" ht="20.25" customHeight="1" thickBot="1" x14ac:dyDescent="0.35">
      <c r="A20" s="37"/>
      <c r="B20" s="1" t="s">
        <v>16</v>
      </c>
      <c r="C20" s="9">
        <v>778.33</v>
      </c>
      <c r="D20" s="10"/>
      <c r="E20" s="9"/>
      <c r="F20" s="10"/>
      <c r="G20" s="9"/>
      <c r="H20" s="10"/>
      <c r="I20" s="9">
        <v>806.54</v>
      </c>
      <c r="J20" s="10"/>
      <c r="K20" s="9"/>
      <c r="L20" s="10"/>
      <c r="M20" s="9"/>
      <c r="N20" s="10"/>
      <c r="O20" s="9">
        <v>492.08</v>
      </c>
      <c r="P20" s="10"/>
      <c r="Q20" s="9"/>
      <c r="R20" s="10"/>
      <c r="S20" s="9"/>
      <c r="T20" s="10"/>
      <c r="U20" s="9">
        <v>314.33</v>
      </c>
      <c r="V20" s="10"/>
      <c r="W20" s="9">
        <v>232.03</v>
      </c>
      <c r="X20" s="10"/>
      <c r="Y20" s="9"/>
      <c r="Z20" s="10"/>
      <c r="AA20" s="11">
        <f t="shared" si="0"/>
        <v>2623.31</v>
      </c>
      <c r="AB20" s="12">
        <f t="shared" si="0"/>
        <v>0</v>
      </c>
    </row>
    <row r="21" spans="1:28" ht="20.25" customHeight="1" thickBot="1" x14ac:dyDescent="0.35">
      <c r="A21" s="36" t="s">
        <v>25</v>
      </c>
      <c r="B21" s="2" t="s">
        <v>55</v>
      </c>
      <c r="C21" s="4"/>
      <c r="D21" s="7"/>
      <c r="E21" s="4"/>
      <c r="F21" s="7"/>
      <c r="G21" s="4"/>
      <c r="H21" s="7">
        <f>3089+68</f>
        <v>3157</v>
      </c>
      <c r="I21" s="4"/>
      <c r="J21" s="7"/>
      <c r="K21" s="4"/>
      <c r="L21" s="7">
        <v>0</v>
      </c>
      <c r="M21" s="4"/>
      <c r="N21" s="7">
        <f>1941</f>
        <v>1941</v>
      </c>
      <c r="O21" s="4"/>
      <c r="P21" s="7">
        <v>0</v>
      </c>
      <c r="Q21" s="4"/>
      <c r="R21" s="7">
        <v>174</v>
      </c>
      <c r="S21" s="4"/>
      <c r="T21" s="7">
        <v>0</v>
      </c>
      <c r="U21" s="4"/>
      <c r="V21" s="7">
        <f>211</f>
        <v>211</v>
      </c>
      <c r="W21" s="4"/>
      <c r="X21" s="7">
        <v>0</v>
      </c>
      <c r="Y21" s="4"/>
      <c r="Z21" s="7">
        <v>3284</v>
      </c>
      <c r="AA21" s="4">
        <f t="shared" si="0"/>
        <v>0</v>
      </c>
      <c r="AB21" s="7">
        <f t="shared" si="0"/>
        <v>8767</v>
      </c>
    </row>
    <row r="22" spans="1:28" ht="20.25" customHeight="1" thickBot="1" x14ac:dyDescent="0.35">
      <c r="A22" s="37"/>
      <c r="B22" s="1" t="s">
        <v>16</v>
      </c>
      <c r="C22" s="9"/>
      <c r="D22" s="10"/>
      <c r="E22" s="9"/>
      <c r="F22" s="10"/>
      <c r="G22" s="9"/>
      <c r="H22" s="10">
        <f>540.55+43.76</f>
        <v>584.30999999999995</v>
      </c>
      <c r="I22" s="9"/>
      <c r="J22" s="10"/>
      <c r="K22" s="9"/>
      <c r="L22" s="10">
        <v>28.33</v>
      </c>
      <c r="M22" s="9"/>
      <c r="N22" s="10">
        <v>353.88</v>
      </c>
      <c r="O22" s="9"/>
      <c r="P22" s="10">
        <v>28.33</v>
      </c>
      <c r="Q22" s="9"/>
      <c r="R22" s="10">
        <v>60.38</v>
      </c>
      <c r="S22" s="9"/>
      <c r="T22" s="10">
        <v>30.75</v>
      </c>
      <c r="U22" s="9"/>
      <c r="V22" s="10">
        <f>65.63</f>
        <v>65.63</v>
      </c>
      <c r="W22" s="9"/>
      <c r="X22" s="10">
        <v>32.29</v>
      </c>
      <c r="Y22" s="9"/>
      <c r="Z22" s="10">
        <v>574.21</v>
      </c>
      <c r="AA22" s="11">
        <f t="shared" si="0"/>
        <v>0</v>
      </c>
      <c r="AB22" s="12">
        <f t="shared" si="0"/>
        <v>1758.1100000000001</v>
      </c>
    </row>
    <row r="23" spans="1:28" ht="20.25" customHeight="1" thickBot="1" x14ac:dyDescent="0.35">
      <c r="A23" s="36" t="s">
        <v>26</v>
      </c>
      <c r="B23" s="2" t="s">
        <v>55</v>
      </c>
      <c r="C23" s="4"/>
      <c r="D23" s="7"/>
      <c r="E23" s="4"/>
      <c r="F23" s="7"/>
      <c r="G23" s="4"/>
      <c r="H23" s="7">
        <f>2+5</f>
        <v>7</v>
      </c>
      <c r="I23" s="4"/>
      <c r="J23" s="7"/>
      <c r="K23" s="4"/>
      <c r="L23" s="7">
        <v>3</v>
      </c>
      <c r="M23" s="4"/>
      <c r="N23" s="7"/>
      <c r="O23" s="4"/>
      <c r="P23" s="7">
        <v>40</v>
      </c>
      <c r="Q23" s="4"/>
      <c r="R23" s="7"/>
      <c r="S23" s="4"/>
      <c r="T23" s="7">
        <v>167</v>
      </c>
      <c r="U23" s="4"/>
      <c r="V23" s="7"/>
      <c r="W23" s="4"/>
      <c r="X23" s="7">
        <v>18</v>
      </c>
      <c r="Y23" s="4"/>
      <c r="Z23" s="7"/>
      <c r="AA23" s="4">
        <f t="shared" si="0"/>
        <v>0</v>
      </c>
      <c r="AB23" s="7">
        <f t="shared" si="0"/>
        <v>235</v>
      </c>
    </row>
    <row r="24" spans="1:28" ht="20.25" customHeight="1" thickBot="1" x14ac:dyDescent="0.35">
      <c r="A24" s="37"/>
      <c r="B24" s="1" t="s">
        <v>16</v>
      </c>
      <c r="C24" s="9"/>
      <c r="D24" s="10"/>
      <c r="E24" s="9"/>
      <c r="F24" s="10"/>
      <c r="G24" s="9"/>
      <c r="H24" s="10">
        <f>79.54+72.67</f>
        <v>152.21</v>
      </c>
      <c r="I24" s="9"/>
      <c r="J24" s="10"/>
      <c r="K24" s="9"/>
      <c r="L24" s="10">
        <v>46.55</v>
      </c>
      <c r="M24" s="9"/>
      <c r="N24" s="10"/>
      <c r="O24" s="9"/>
      <c r="P24" s="10">
        <v>52.76</v>
      </c>
      <c r="Q24" s="9"/>
      <c r="R24" s="10"/>
      <c r="S24" s="9"/>
      <c r="T24" s="10">
        <v>83.63</v>
      </c>
      <c r="U24" s="9"/>
      <c r="V24" s="10"/>
      <c r="W24" s="9"/>
      <c r="X24" s="10">
        <v>61.09</v>
      </c>
      <c r="Y24" s="9"/>
      <c r="Z24" s="10"/>
      <c r="AA24" s="11">
        <f t="shared" si="0"/>
        <v>0</v>
      </c>
      <c r="AB24" s="12">
        <f t="shared" si="0"/>
        <v>396.24</v>
      </c>
    </row>
    <row r="25" spans="1:28" ht="20.25" customHeight="1" thickBot="1" x14ac:dyDescent="0.35">
      <c r="A25" s="36" t="s">
        <v>27</v>
      </c>
      <c r="B25" s="2" t="s">
        <v>55</v>
      </c>
      <c r="C25" s="4">
        <v>7845</v>
      </c>
      <c r="D25" s="7"/>
      <c r="E25" s="4"/>
      <c r="F25" s="7"/>
      <c r="G25" s="4"/>
      <c r="H25" s="7">
        <f>325+482</f>
        <v>807</v>
      </c>
      <c r="I25" s="4">
        <v>24014</v>
      </c>
      <c r="J25" s="7"/>
      <c r="K25" s="4"/>
      <c r="L25" s="7">
        <v>363</v>
      </c>
      <c r="M25" s="4"/>
      <c r="N25" s="7"/>
      <c r="O25" s="4">
        <v>6910</v>
      </c>
      <c r="P25" s="7">
        <v>262</v>
      </c>
      <c r="Q25" s="4"/>
      <c r="R25" s="7"/>
      <c r="S25" s="4"/>
      <c r="T25" s="7">
        <v>210</v>
      </c>
      <c r="U25" s="4">
        <v>-95</v>
      </c>
      <c r="V25" s="7"/>
      <c r="W25" s="4">
        <v>1067</v>
      </c>
      <c r="X25" s="7">
        <v>229</v>
      </c>
      <c r="Y25" s="4"/>
      <c r="Z25" s="7"/>
      <c r="AA25" s="4">
        <f t="shared" si="0"/>
        <v>39741</v>
      </c>
      <c r="AB25" s="7">
        <f t="shared" si="0"/>
        <v>1871</v>
      </c>
    </row>
    <row r="26" spans="1:28" ht="20.25" customHeight="1" thickBot="1" x14ac:dyDescent="0.35">
      <c r="A26" s="37"/>
      <c r="B26" s="1" t="s">
        <v>16</v>
      </c>
      <c r="C26" s="9">
        <v>516.89</v>
      </c>
      <c r="D26" s="10"/>
      <c r="E26" s="9"/>
      <c r="F26" s="10"/>
      <c r="G26" s="9"/>
      <c r="H26" s="10">
        <f>133.7+151.14</f>
        <v>284.83999999999997</v>
      </c>
      <c r="I26" s="9">
        <v>1211.32</v>
      </c>
      <c r="J26" s="10"/>
      <c r="K26" s="9"/>
      <c r="L26" s="10">
        <v>106.94</v>
      </c>
      <c r="M26" s="9"/>
      <c r="N26" s="10"/>
      <c r="O26" s="9">
        <v>519.84</v>
      </c>
      <c r="P26" s="10">
        <v>89.99</v>
      </c>
      <c r="Q26" s="9"/>
      <c r="R26" s="10"/>
      <c r="S26" s="9"/>
      <c r="T26" s="10">
        <v>90.96</v>
      </c>
      <c r="U26" s="9">
        <v>221.33</v>
      </c>
      <c r="V26" s="10"/>
      <c r="W26" s="9">
        <v>66.739999999999995</v>
      </c>
      <c r="X26" s="10">
        <v>96</v>
      </c>
      <c r="Y26" s="9"/>
      <c r="Z26" s="10"/>
      <c r="AA26" s="11">
        <f t="shared" si="0"/>
        <v>2536.12</v>
      </c>
      <c r="AB26" s="12">
        <f t="shared" si="0"/>
        <v>668.73</v>
      </c>
    </row>
    <row r="27" spans="1:28" ht="20.25" customHeight="1" thickBot="1" x14ac:dyDescent="0.35">
      <c r="A27" s="36" t="s">
        <v>28</v>
      </c>
      <c r="B27" s="2" t="s">
        <v>55</v>
      </c>
      <c r="C27" s="4"/>
      <c r="D27" s="7"/>
      <c r="E27" s="4"/>
      <c r="F27" s="7"/>
      <c r="G27" s="4"/>
      <c r="H27" s="7">
        <v>7841</v>
      </c>
      <c r="I27" s="4"/>
      <c r="J27" s="7"/>
      <c r="K27" s="4"/>
      <c r="L27" s="7">
        <v>1409</v>
      </c>
      <c r="M27" s="4"/>
      <c r="N27" s="7"/>
      <c r="O27" s="4"/>
      <c r="P27" s="7">
        <v>1110</v>
      </c>
      <c r="Q27" s="4"/>
      <c r="R27" s="7"/>
      <c r="S27" s="4"/>
      <c r="T27" s="7">
        <v>1003</v>
      </c>
      <c r="U27" s="4"/>
      <c r="V27" s="7"/>
      <c r="W27" s="4"/>
      <c r="X27" s="7">
        <v>1600</v>
      </c>
      <c r="Y27" s="4"/>
      <c r="Z27" s="7"/>
      <c r="AA27" s="4">
        <f t="shared" si="0"/>
        <v>0</v>
      </c>
      <c r="AB27" s="7">
        <f t="shared" si="0"/>
        <v>12963</v>
      </c>
    </row>
    <row r="28" spans="1:28" ht="20.25" customHeight="1" thickBot="1" x14ac:dyDescent="0.35">
      <c r="A28" s="37"/>
      <c r="B28" s="1" t="s">
        <v>16</v>
      </c>
      <c r="C28" s="9"/>
      <c r="D28" s="10"/>
      <c r="E28" s="9"/>
      <c r="F28" s="10"/>
      <c r="G28" s="9"/>
      <c r="H28" s="10">
        <v>1355.93</v>
      </c>
      <c r="I28" s="9"/>
      <c r="J28" s="10"/>
      <c r="K28" s="9"/>
      <c r="L28" s="10">
        <v>288.01</v>
      </c>
      <c r="M28" s="9"/>
      <c r="N28" s="10"/>
      <c r="O28" s="9"/>
      <c r="P28" s="10">
        <v>242.06</v>
      </c>
      <c r="Q28" s="9"/>
      <c r="R28" s="10"/>
      <c r="S28" s="9"/>
      <c r="T28" s="10">
        <v>240.92</v>
      </c>
      <c r="U28" s="9"/>
      <c r="V28" s="10"/>
      <c r="W28" s="9"/>
      <c r="X28" s="10">
        <v>332.25</v>
      </c>
      <c r="Y28" s="9"/>
      <c r="Z28" s="10"/>
      <c r="AA28" s="11">
        <f t="shared" si="0"/>
        <v>0</v>
      </c>
      <c r="AB28" s="12">
        <f t="shared" si="0"/>
        <v>2459.17</v>
      </c>
    </row>
    <row r="29" spans="1:28" ht="20.25" customHeight="1" thickBot="1" x14ac:dyDescent="0.35">
      <c r="A29" s="36" t="s">
        <v>29</v>
      </c>
      <c r="B29" s="2" t="s">
        <v>55</v>
      </c>
      <c r="C29" s="4"/>
      <c r="D29" s="7"/>
      <c r="E29" s="4">
        <v>3162</v>
      </c>
      <c r="F29" s="7"/>
      <c r="G29" s="4"/>
      <c r="H29" s="7">
        <f>920-21</f>
        <v>899</v>
      </c>
      <c r="I29" s="4"/>
      <c r="J29" s="7"/>
      <c r="K29" s="4">
        <v>2992</v>
      </c>
      <c r="L29" s="7">
        <v>-150</v>
      </c>
      <c r="M29" s="4"/>
      <c r="N29" s="7"/>
      <c r="O29" s="4"/>
      <c r="P29" s="7">
        <v>11</v>
      </c>
      <c r="Q29" s="4">
        <v>2327</v>
      </c>
      <c r="R29" s="7"/>
      <c r="S29" s="4"/>
      <c r="T29" s="7">
        <v>229</v>
      </c>
      <c r="U29" s="4"/>
      <c r="V29" s="7"/>
      <c r="W29" s="4">
        <v>3494</v>
      </c>
      <c r="X29" s="7">
        <v>887</v>
      </c>
      <c r="Y29" s="4"/>
      <c r="Z29" s="7"/>
      <c r="AA29" s="4">
        <f t="shared" si="0"/>
        <v>11975</v>
      </c>
      <c r="AB29" s="7">
        <f t="shared" si="0"/>
        <v>1876</v>
      </c>
    </row>
    <row r="30" spans="1:28" ht="20.25" customHeight="1" thickBot="1" x14ac:dyDescent="0.35">
      <c r="A30" s="37"/>
      <c r="B30" s="1" t="s">
        <v>16</v>
      </c>
      <c r="C30" s="9"/>
      <c r="D30" s="10"/>
      <c r="E30" s="9">
        <v>250.62</v>
      </c>
      <c r="F30" s="10"/>
      <c r="G30" s="9"/>
      <c r="H30" s="10">
        <f>97.5+209.35</f>
        <v>306.85000000000002</v>
      </c>
      <c r="I30" s="9"/>
      <c r="J30" s="10"/>
      <c r="K30" s="9">
        <v>241.28</v>
      </c>
      <c r="L30" s="10">
        <v>26.55</v>
      </c>
      <c r="M30" s="9"/>
      <c r="N30" s="10"/>
      <c r="O30" s="9"/>
      <c r="P30" s="10">
        <v>57.73</v>
      </c>
      <c r="Q30" s="9">
        <v>212.39</v>
      </c>
      <c r="R30" s="10"/>
      <c r="S30" s="9"/>
      <c r="T30" s="10">
        <v>112</v>
      </c>
      <c r="U30" s="9"/>
      <c r="V30" s="10"/>
      <c r="W30" s="9">
        <v>304.66000000000003</v>
      </c>
      <c r="X30" s="10">
        <v>214.27</v>
      </c>
      <c r="Y30" s="9"/>
      <c r="Z30" s="10"/>
      <c r="AA30" s="11">
        <f t="shared" si="0"/>
        <v>1008.95</v>
      </c>
      <c r="AB30" s="12">
        <f t="shared" si="0"/>
        <v>717.40000000000009</v>
      </c>
    </row>
    <row r="31" spans="1:28" ht="20.25" customHeight="1" thickBot="1" x14ac:dyDescent="0.35">
      <c r="A31" s="36" t="s">
        <v>30</v>
      </c>
      <c r="B31" s="2" t="s">
        <v>55</v>
      </c>
      <c r="C31" s="4"/>
      <c r="D31" s="7"/>
      <c r="E31" s="4"/>
      <c r="F31" s="7"/>
      <c r="G31" s="4"/>
      <c r="H31" s="7">
        <v>1587</v>
      </c>
      <c r="I31" s="4"/>
      <c r="J31" s="7">
        <v>720</v>
      </c>
      <c r="K31" s="4"/>
      <c r="L31" s="7"/>
      <c r="M31" s="4"/>
      <c r="N31" s="7">
        <v>167</v>
      </c>
      <c r="O31" s="4"/>
      <c r="P31" s="7"/>
      <c r="Q31" s="4"/>
      <c r="R31" s="7">
        <v>129</v>
      </c>
      <c r="S31" s="4"/>
      <c r="T31" s="7"/>
      <c r="U31" s="4"/>
      <c r="V31" s="7">
        <v>192</v>
      </c>
      <c r="W31" s="4"/>
      <c r="X31" s="7"/>
      <c r="Y31" s="4"/>
      <c r="Z31" s="7">
        <v>885</v>
      </c>
      <c r="AA31" s="4">
        <f t="shared" si="0"/>
        <v>0</v>
      </c>
      <c r="AB31" s="7">
        <f t="shared" si="0"/>
        <v>3680</v>
      </c>
    </row>
    <row r="32" spans="1:28" ht="20.25" customHeight="1" thickBot="1" x14ac:dyDescent="0.35">
      <c r="A32" s="37"/>
      <c r="B32" s="1" t="s">
        <v>16</v>
      </c>
      <c r="C32" s="9"/>
      <c r="D32" s="10"/>
      <c r="E32" s="9"/>
      <c r="F32" s="10"/>
      <c r="G32" s="9"/>
      <c r="H32" s="10">
        <v>344.55</v>
      </c>
      <c r="I32" s="9"/>
      <c r="J32" s="10">
        <v>188.87</v>
      </c>
      <c r="K32" s="9"/>
      <c r="L32" s="10"/>
      <c r="M32" s="9"/>
      <c r="N32" s="10">
        <v>102.18</v>
      </c>
      <c r="O32" s="9"/>
      <c r="P32" s="10"/>
      <c r="Q32" s="9"/>
      <c r="R32" s="10">
        <v>114.43</v>
      </c>
      <c r="S32" s="9"/>
      <c r="T32" s="10"/>
      <c r="U32" s="9"/>
      <c r="V32" s="10">
        <v>124.41</v>
      </c>
      <c r="W32" s="9"/>
      <c r="X32" s="10"/>
      <c r="Y32" s="9"/>
      <c r="Z32" s="10">
        <v>239.08</v>
      </c>
      <c r="AA32" s="11">
        <f t="shared" si="0"/>
        <v>0</v>
      </c>
      <c r="AB32" s="12">
        <f t="shared" si="0"/>
        <v>1113.5200000000002</v>
      </c>
    </row>
    <row r="33" spans="1:28" ht="20.25" customHeight="1" thickBot="1" x14ac:dyDescent="0.35">
      <c r="A33" s="36" t="s">
        <v>31</v>
      </c>
      <c r="B33" s="2" t="s">
        <v>55</v>
      </c>
      <c r="C33" s="4"/>
      <c r="D33" s="7"/>
      <c r="E33" s="4"/>
      <c r="F33" s="7">
        <v>169</v>
      </c>
      <c r="G33" s="4"/>
      <c r="H33" s="7">
        <v>853</v>
      </c>
      <c r="I33" s="4"/>
      <c r="J33" s="7">
        <v>538</v>
      </c>
      <c r="K33" s="4"/>
      <c r="L33" s="7"/>
      <c r="M33" s="4"/>
      <c r="N33" s="7">
        <v>562</v>
      </c>
      <c r="O33" s="4"/>
      <c r="P33" s="7"/>
      <c r="Q33" s="4"/>
      <c r="R33" s="7">
        <v>674</v>
      </c>
      <c r="S33" s="4"/>
      <c r="T33" s="7"/>
      <c r="U33" s="4"/>
      <c r="V33" s="7">
        <v>513</v>
      </c>
      <c r="W33" s="4"/>
      <c r="X33" s="7"/>
      <c r="Y33" s="4"/>
      <c r="Z33" s="7">
        <v>579</v>
      </c>
      <c r="AA33" s="4">
        <f t="shared" si="0"/>
        <v>0</v>
      </c>
      <c r="AB33" s="7">
        <f t="shared" si="0"/>
        <v>3888</v>
      </c>
    </row>
    <row r="34" spans="1:28" ht="20.25" customHeight="1" thickBot="1" x14ac:dyDescent="0.35">
      <c r="A34" s="37"/>
      <c r="B34" s="1" t="s">
        <v>16</v>
      </c>
      <c r="C34" s="9"/>
      <c r="D34" s="10"/>
      <c r="E34" s="9"/>
      <c r="F34" s="10">
        <v>127.53</v>
      </c>
      <c r="G34" s="9"/>
      <c r="H34" s="10">
        <v>262.38</v>
      </c>
      <c r="I34" s="9"/>
      <c r="J34" s="10">
        <v>163.75</v>
      </c>
      <c r="K34" s="9"/>
      <c r="L34" s="10"/>
      <c r="M34" s="9"/>
      <c r="N34" s="10">
        <v>172.96</v>
      </c>
      <c r="O34" s="9"/>
      <c r="P34" s="10"/>
      <c r="Q34" s="9"/>
      <c r="R34" s="10">
        <v>210.04</v>
      </c>
      <c r="S34" s="9"/>
      <c r="T34" s="10"/>
      <c r="U34" s="9"/>
      <c r="V34" s="10">
        <v>178.89</v>
      </c>
      <c r="W34" s="9"/>
      <c r="X34" s="10"/>
      <c r="Y34" s="9"/>
      <c r="Z34" s="10">
        <v>190.7</v>
      </c>
      <c r="AA34" s="11">
        <f t="shared" si="0"/>
        <v>0</v>
      </c>
      <c r="AB34" s="12">
        <f t="shared" si="0"/>
        <v>1306.25</v>
      </c>
    </row>
    <row r="35" spans="1:28" ht="20.25" customHeight="1" thickBot="1" x14ac:dyDescent="0.35">
      <c r="A35" s="38" t="s">
        <v>32</v>
      </c>
      <c r="B35" s="2" t="s">
        <v>55</v>
      </c>
      <c r="C35" s="4"/>
      <c r="D35" s="7"/>
      <c r="E35" s="4"/>
      <c r="F35" s="7">
        <v>3</v>
      </c>
      <c r="G35" s="4"/>
      <c r="H35" s="7"/>
      <c r="I35" s="4"/>
      <c r="J35" s="7">
        <v>-13</v>
      </c>
      <c r="K35" s="4"/>
      <c r="L35" s="7"/>
      <c r="M35" s="4"/>
      <c r="N35" s="7"/>
      <c r="O35" s="4"/>
      <c r="P35" s="7"/>
      <c r="Q35" s="4"/>
      <c r="R35" s="7">
        <v>43</v>
      </c>
      <c r="S35" s="4"/>
      <c r="T35" s="7"/>
      <c r="U35" s="4"/>
      <c r="V35" s="7"/>
      <c r="W35" s="4"/>
      <c r="X35" s="7"/>
      <c r="Y35" s="4"/>
      <c r="Z35" s="7"/>
      <c r="AA35" s="4">
        <f t="shared" si="0"/>
        <v>0</v>
      </c>
      <c r="AB35" s="7">
        <f t="shared" si="0"/>
        <v>33</v>
      </c>
    </row>
    <row r="36" spans="1:28" ht="20.25" customHeight="1" thickBot="1" x14ac:dyDescent="0.35">
      <c r="A36" s="39"/>
      <c r="B36" s="1" t="s">
        <v>16</v>
      </c>
      <c r="C36" s="9"/>
      <c r="D36" s="10"/>
      <c r="E36" s="9"/>
      <c r="F36" s="10">
        <v>37.130000000000003</v>
      </c>
      <c r="G36" s="9"/>
      <c r="H36" s="10"/>
      <c r="I36" s="9"/>
      <c r="J36" s="10">
        <v>24.45</v>
      </c>
      <c r="K36" s="9"/>
      <c r="L36" s="10"/>
      <c r="M36" s="9"/>
      <c r="N36" s="10"/>
      <c r="O36" s="9"/>
      <c r="P36" s="10"/>
      <c r="Q36" s="9"/>
      <c r="R36" s="10">
        <v>101.06</v>
      </c>
      <c r="S36" s="9"/>
      <c r="T36" s="10"/>
      <c r="U36" s="9"/>
      <c r="V36" s="10"/>
      <c r="W36" s="9"/>
      <c r="X36" s="10"/>
      <c r="Y36" s="9"/>
      <c r="Z36" s="10"/>
      <c r="AA36" s="11">
        <f t="shared" si="0"/>
        <v>0</v>
      </c>
      <c r="AB36" s="12">
        <f t="shared" si="0"/>
        <v>162.63999999999999</v>
      </c>
    </row>
    <row r="37" spans="1:28" ht="20.25" customHeight="1" thickBot="1" x14ac:dyDescent="0.35">
      <c r="A37" s="38" t="s">
        <v>33</v>
      </c>
      <c r="B37" s="2" t="s">
        <v>55</v>
      </c>
      <c r="C37" s="4"/>
      <c r="D37" s="7"/>
      <c r="E37" s="4"/>
      <c r="F37" s="7">
        <v>-120</v>
      </c>
      <c r="G37" s="4"/>
      <c r="H37" s="7">
        <v>446</v>
      </c>
      <c r="I37" s="4"/>
      <c r="J37" s="7">
        <v>388</v>
      </c>
      <c r="K37" s="4"/>
      <c r="L37" s="7"/>
      <c r="M37" s="4"/>
      <c r="N37" s="7"/>
      <c r="O37" s="4"/>
      <c r="P37" s="7">
        <v>118</v>
      </c>
      <c r="Q37" s="4"/>
      <c r="R37" s="7">
        <v>480</v>
      </c>
      <c r="S37" s="4"/>
      <c r="T37" s="7"/>
      <c r="U37" s="4"/>
      <c r="V37" s="7">
        <v>296</v>
      </c>
      <c r="W37" s="4"/>
      <c r="X37" s="7"/>
      <c r="Y37" s="4"/>
      <c r="Z37" s="7">
        <v>284</v>
      </c>
      <c r="AA37" s="4">
        <f t="shared" si="0"/>
        <v>0</v>
      </c>
      <c r="AB37" s="7">
        <f t="shared" si="0"/>
        <v>1892</v>
      </c>
    </row>
    <row r="38" spans="1:28" ht="20.25" customHeight="1" thickBot="1" x14ac:dyDescent="0.35">
      <c r="A38" s="39"/>
      <c r="B38" s="1" t="s">
        <v>16</v>
      </c>
      <c r="C38" s="9"/>
      <c r="D38" s="10"/>
      <c r="E38" s="9"/>
      <c r="F38" s="10">
        <v>17.14</v>
      </c>
      <c r="G38" s="9"/>
      <c r="H38" s="10">
        <v>105.26</v>
      </c>
      <c r="I38" s="9"/>
      <c r="J38" s="10">
        <v>91.71</v>
      </c>
      <c r="K38" s="9"/>
      <c r="L38" s="10"/>
      <c r="M38" s="9"/>
      <c r="N38" s="10"/>
      <c r="O38" s="9"/>
      <c r="P38" s="10">
        <v>58.96</v>
      </c>
      <c r="Q38" s="9"/>
      <c r="R38" s="10">
        <v>85.65</v>
      </c>
      <c r="S38" s="9"/>
      <c r="T38" s="10"/>
      <c r="U38" s="9"/>
      <c r="V38" s="10">
        <v>94.69</v>
      </c>
      <c r="W38" s="9"/>
      <c r="X38" s="10"/>
      <c r="Y38" s="9"/>
      <c r="Z38" s="10">
        <v>77.7</v>
      </c>
      <c r="AA38" s="11">
        <f t="shared" si="0"/>
        <v>0</v>
      </c>
      <c r="AB38" s="12">
        <f t="shared" si="0"/>
        <v>531.11</v>
      </c>
    </row>
    <row r="39" spans="1:28" ht="20.25" customHeight="1" thickBot="1" x14ac:dyDescent="0.35">
      <c r="A39" s="38" t="s">
        <v>34</v>
      </c>
      <c r="B39" s="2" t="s">
        <v>55</v>
      </c>
      <c r="C39" s="4"/>
      <c r="D39" s="7"/>
      <c r="E39" s="4"/>
      <c r="F39" s="7">
        <v>3872</v>
      </c>
      <c r="G39" s="4"/>
      <c r="H39" s="7">
        <v>0</v>
      </c>
      <c r="I39" s="4"/>
      <c r="J39" s="7">
        <v>3657</v>
      </c>
      <c r="K39" s="4"/>
      <c r="L39" s="7"/>
      <c r="M39" s="4"/>
      <c r="N39" s="7"/>
      <c r="O39" s="4"/>
      <c r="P39" s="7"/>
      <c r="Q39" s="4"/>
      <c r="R39" s="7"/>
      <c r="S39" s="4"/>
      <c r="T39" s="7"/>
      <c r="U39" s="4"/>
      <c r="V39" s="7"/>
      <c r="W39" s="4"/>
      <c r="X39" s="7"/>
      <c r="Y39" s="4"/>
      <c r="Z39" s="7"/>
      <c r="AA39" s="4">
        <f t="shared" si="0"/>
        <v>0</v>
      </c>
      <c r="AB39" s="7">
        <f t="shared" si="0"/>
        <v>7529</v>
      </c>
    </row>
    <row r="40" spans="1:28" ht="20.25" customHeight="1" thickBot="1" x14ac:dyDescent="0.35">
      <c r="A40" s="39"/>
      <c r="B40" s="1" t="s">
        <v>16</v>
      </c>
      <c r="C40" s="9"/>
      <c r="D40" s="10"/>
      <c r="E40" s="9"/>
      <c r="F40" s="10">
        <v>686.03</v>
      </c>
      <c r="G40" s="9"/>
      <c r="H40" s="10">
        <v>49.12</v>
      </c>
      <c r="I40" s="9"/>
      <c r="J40" s="10">
        <v>639.96</v>
      </c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11">
        <f t="shared" si="0"/>
        <v>0</v>
      </c>
      <c r="AB40" s="12">
        <f t="shared" si="0"/>
        <v>1375.1100000000001</v>
      </c>
    </row>
    <row r="41" spans="1:28" ht="20.25" customHeight="1" thickBot="1" x14ac:dyDescent="0.35">
      <c r="A41" s="38" t="s">
        <v>35</v>
      </c>
      <c r="B41" s="2" t="s">
        <v>55</v>
      </c>
      <c r="C41" s="4"/>
      <c r="D41" s="7"/>
      <c r="E41" s="4"/>
      <c r="F41" s="7">
        <v>488</v>
      </c>
      <c r="G41" s="4"/>
      <c r="H41" s="7">
        <v>4488</v>
      </c>
      <c r="I41" s="4"/>
      <c r="J41" s="7">
        <v>1307</v>
      </c>
      <c r="K41" s="4"/>
      <c r="L41" s="7"/>
      <c r="M41" s="4"/>
      <c r="N41" s="7">
        <v>682</v>
      </c>
      <c r="O41" s="4"/>
      <c r="P41" s="7"/>
      <c r="Q41" s="4"/>
      <c r="R41" s="7">
        <v>1326</v>
      </c>
      <c r="S41" s="4"/>
      <c r="T41" s="7"/>
      <c r="U41" s="4"/>
      <c r="V41" s="7">
        <v>1454</v>
      </c>
      <c r="W41" s="4"/>
      <c r="X41" s="7"/>
      <c r="Y41" s="4"/>
      <c r="Z41" s="7">
        <v>2455</v>
      </c>
      <c r="AA41" s="4">
        <f t="shared" si="0"/>
        <v>0</v>
      </c>
      <c r="AB41" s="7">
        <f t="shared" si="0"/>
        <v>12200</v>
      </c>
    </row>
    <row r="42" spans="1:28" ht="20.25" customHeight="1" thickBot="1" x14ac:dyDescent="0.35">
      <c r="A42" s="39"/>
      <c r="B42" s="1" t="s">
        <v>16</v>
      </c>
      <c r="C42" s="9"/>
      <c r="D42" s="10"/>
      <c r="E42" s="9"/>
      <c r="F42" s="10">
        <v>154.56</v>
      </c>
      <c r="G42" s="9"/>
      <c r="H42" s="10">
        <v>753.46</v>
      </c>
      <c r="I42" s="9"/>
      <c r="J42" s="10">
        <v>270.79000000000002</v>
      </c>
      <c r="K42" s="9"/>
      <c r="L42" s="10"/>
      <c r="M42" s="9"/>
      <c r="N42" s="10">
        <v>170.28</v>
      </c>
      <c r="O42" s="9"/>
      <c r="P42" s="10"/>
      <c r="Q42" s="9"/>
      <c r="R42" s="10">
        <v>290.45</v>
      </c>
      <c r="S42" s="9"/>
      <c r="T42" s="10"/>
      <c r="U42" s="9"/>
      <c r="V42" s="10">
        <v>308.10000000000002</v>
      </c>
      <c r="W42" s="9"/>
      <c r="X42" s="10"/>
      <c r="Y42" s="9"/>
      <c r="Z42" s="10">
        <v>473.76</v>
      </c>
      <c r="AA42" s="11">
        <f t="shared" si="0"/>
        <v>0</v>
      </c>
      <c r="AB42" s="12">
        <f t="shared" si="0"/>
        <v>2421.3999999999996</v>
      </c>
    </row>
    <row r="43" spans="1:28" ht="20.25" customHeight="1" thickBot="1" x14ac:dyDescent="0.35">
      <c r="A43" s="38" t="s">
        <v>36</v>
      </c>
      <c r="B43" s="2" t="s">
        <v>55</v>
      </c>
      <c r="C43" s="4"/>
      <c r="D43" s="7"/>
      <c r="E43" s="4"/>
      <c r="F43" s="7">
        <f>24525+14</f>
        <v>24539</v>
      </c>
      <c r="G43" s="4"/>
      <c r="H43" s="7">
        <v>17</v>
      </c>
      <c r="I43" s="4"/>
      <c r="J43" s="7">
        <v>2</v>
      </c>
      <c r="K43" s="4"/>
      <c r="L43" s="7"/>
      <c r="M43" s="4"/>
      <c r="N43" s="7">
        <v>13</v>
      </c>
      <c r="O43" s="4"/>
      <c r="P43" s="7"/>
      <c r="Q43" s="4"/>
      <c r="R43" s="7"/>
      <c r="S43" s="4"/>
      <c r="T43" s="7"/>
      <c r="U43" s="4"/>
      <c r="V43" s="7">
        <v>30</v>
      </c>
      <c r="W43" s="4"/>
      <c r="X43" s="7"/>
      <c r="Y43" s="4"/>
      <c r="Z43" s="7">
        <v>9</v>
      </c>
      <c r="AA43" s="4">
        <f t="shared" si="0"/>
        <v>0</v>
      </c>
      <c r="AB43" s="7">
        <f t="shared" si="0"/>
        <v>24610</v>
      </c>
    </row>
    <row r="44" spans="1:28" ht="20.25" customHeight="1" thickBot="1" x14ac:dyDescent="0.35">
      <c r="A44" s="39"/>
      <c r="B44" s="1" t="s">
        <v>16</v>
      </c>
      <c r="C44" s="9"/>
      <c r="D44" s="10"/>
      <c r="E44" s="9"/>
      <c r="F44" s="10">
        <f>98.9+4173.18</f>
        <v>4272.08</v>
      </c>
      <c r="G44" s="9"/>
      <c r="H44" s="10">
        <v>23.54</v>
      </c>
      <c r="I44" s="9"/>
      <c r="J44" s="10">
        <v>68.45</v>
      </c>
      <c r="K44" s="9"/>
      <c r="L44" s="10"/>
      <c r="M44" s="9"/>
      <c r="N44" s="10">
        <v>76.36</v>
      </c>
      <c r="O44" s="9"/>
      <c r="P44" s="10"/>
      <c r="Q44" s="9"/>
      <c r="R44" s="10"/>
      <c r="S44" s="9"/>
      <c r="T44" s="10"/>
      <c r="U44" s="9"/>
      <c r="V44" s="10">
        <v>97.6</v>
      </c>
      <c r="W44" s="9"/>
      <c r="X44" s="10"/>
      <c r="Y44" s="9"/>
      <c r="Z44" s="10">
        <v>94.13</v>
      </c>
      <c r="AA44" s="11">
        <f t="shared" si="0"/>
        <v>0</v>
      </c>
      <c r="AB44" s="12">
        <f t="shared" si="0"/>
        <v>4632.16</v>
      </c>
    </row>
    <row r="45" spans="1:28" ht="20.25" customHeight="1" thickBot="1" x14ac:dyDescent="0.35">
      <c r="A45" s="38" t="s">
        <v>80</v>
      </c>
      <c r="B45" s="2" t="s">
        <v>55</v>
      </c>
      <c r="C45" s="4"/>
      <c r="D45" s="7"/>
      <c r="E45" s="4"/>
      <c r="F45" s="7"/>
      <c r="G45" s="4"/>
      <c r="H45" s="7">
        <v>2385</v>
      </c>
      <c r="I45" s="4"/>
      <c r="J45" s="7"/>
      <c r="K45" s="4"/>
      <c r="L45" s="7"/>
      <c r="M45" s="4"/>
      <c r="N45" s="7"/>
      <c r="O45" s="4"/>
      <c r="P45" s="7">
        <v>831</v>
      </c>
      <c r="Q45" s="4"/>
      <c r="R45" s="7"/>
      <c r="S45" s="4"/>
      <c r="T45" s="7">
        <v>887</v>
      </c>
      <c r="U45" s="4"/>
      <c r="V45" s="7"/>
      <c r="W45" s="4"/>
      <c r="X45" s="7">
        <v>933</v>
      </c>
      <c r="Y45" s="4"/>
      <c r="Z45" s="7"/>
      <c r="AA45" s="4">
        <f t="shared" si="0"/>
        <v>0</v>
      </c>
      <c r="AB45" s="7">
        <f t="shared" si="0"/>
        <v>5036</v>
      </c>
    </row>
    <row r="46" spans="1:28" ht="20.25" customHeight="1" thickBot="1" x14ac:dyDescent="0.35">
      <c r="A46" s="39"/>
      <c r="B46" s="1" t="s">
        <v>16</v>
      </c>
      <c r="C46" s="9"/>
      <c r="D46" s="10"/>
      <c r="E46" s="9"/>
      <c r="F46" s="10"/>
      <c r="G46" s="9"/>
      <c r="H46" s="10">
        <v>483.22</v>
      </c>
      <c r="I46" s="9"/>
      <c r="J46" s="10"/>
      <c r="K46" s="9"/>
      <c r="L46" s="10"/>
      <c r="M46" s="9"/>
      <c r="N46" s="10"/>
      <c r="O46" s="9"/>
      <c r="P46" s="10">
        <v>185.43</v>
      </c>
      <c r="Q46" s="9"/>
      <c r="R46" s="10"/>
      <c r="S46" s="9"/>
      <c r="T46" s="10">
        <v>207</v>
      </c>
      <c r="U46" s="9"/>
      <c r="V46" s="10"/>
      <c r="W46" s="9"/>
      <c r="X46" s="10">
        <v>208.98</v>
      </c>
      <c r="Y46" s="9"/>
      <c r="Z46" s="10"/>
      <c r="AA46" s="11">
        <f t="shared" si="0"/>
        <v>0</v>
      </c>
      <c r="AB46" s="12">
        <f t="shared" si="0"/>
        <v>1084.6300000000001</v>
      </c>
    </row>
    <row r="47" spans="1:28" ht="20.25" customHeight="1" thickBot="1" x14ac:dyDescent="0.35">
      <c r="A47" s="38" t="s">
        <v>38</v>
      </c>
      <c r="B47" s="2" t="s">
        <v>55</v>
      </c>
      <c r="C47" s="4"/>
      <c r="D47" s="7"/>
      <c r="E47" s="4"/>
      <c r="F47" s="7">
        <v>151</v>
      </c>
      <c r="G47" s="4"/>
      <c r="H47" s="7">
        <v>5688</v>
      </c>
      <c r="I47" s="4"/>
      <c r="J47" s="7">
        <v>5833</v>
      </c>
      <c r="K47" s="4"/>
      <c r="L47" s="7">
        <v>1189</v>
      </c>
      <c r="M47" s="4">
        <v>145419</v>
      </c>
      <c r="N47" s="7">
        <v>2188</v>
      </c>
      <c r="O47" s="4"/>
      <c r="P47" s="7"/>
      <c r="Q47" s="4"/>
      <c r="R47" s="7">
        <v>648</v>
      </c>
      <c r="S47" s="4"/>
      <c r="T47" s="7"/>
      <c r="U47" s="4"/>
      <c r="V47" s="7">
        <v>803</v>
      </c>
      <c r="W47" s="4"/>
      <c r="X47" s="7"/>
      <c r="Y47" s="4"/>
      <c r="Z47" s="7">
        <v>4579</v>
      </c>
      <c r="AA47" s="4">
        <f t="shared" si="0"/>
        <v>145419</v>
      </c>
      <c r="AB47" s="7">
        <f t="shared" si="0"/>
        <v>21079</v>
      </c>
    </row>
    <row r="48" spans="1:28" ht="20.25" customHeight="1" thickBot="1" x14ac:dyDescent="0.35">
      <c r="A48" s="39"/>
      <c r="B48" s="1" t="s">
        <v>16</v>
      </c>
      <c r="C48" s="9"/>
      <c r="D48" s="10"/>
      <c r="E48" s="9"/>
      <c r="F48" s="10">
        <v>128.13</v>
      </c>
      <c r="G48" s="9"/>
      <c r="H48" s="10">
        <v>1003.4</v>
      </c>
      <c r="I48" s="9"/>
      <c r="J48" s="10">
        <v>1030.9100000000001</v>
      </c>
      <c r="K48" s="9"/>
      <c r="L48" s="10">
        <v>242.12</v>
      </c>
      <c r="M48" s="9">
        <v>6972</v>
      </c>
      <c r="N48" s="10">
        <v>434.44</v>
      </c>
      <c r="O48" s="9"/>
      <c r="P48" s="10"/>
      <c r="Q48" s="9"/>
      <c r="R48" s="10">
        <v>197.4</v>
      </c>
      <c r="S48" s="9"/>
      <c r="T48" s="10"/>
      <c r="U48" s="9"/>
      <c r="V48" s="10">
        <v>221.05</v>
      </c>
      <c r="W48" s="9"/>
      <c r="X48" s="10"/>
      <c r="Y48" s="9"/>
      <c r="Z48" s="10">
        <v>838.59</v>
      </c>
      <c r="AA48" s="11">
        <f t="shared" si="0"/>
        <v>6972</v>
      </c>
      <c r="AB48" s="12">
        <f t="shared" si="0"/>
        <v>4096.04</v>
      </c>
    </row>
    <row r="49" spans="1:28" ht="20.25" customHeight="1" thickBot="1" x14ac:dyDescent="0.35">
      <c r="A49" s="38" t="s">
        <v>39</v>
      </c>
      <c r="B49" s="2" t="s">
        <v>55</v>
      </c>
      <c r="C49" s="4"/>
      <c r="D49" s="7"/>
      <c r="E49" s="4"/>
      <c r="F49" s="7">
        <v>18555</v>
      </c>
      <c r="G49" s="4"/>
      <c r="H49" s="7">
        <v>11913</v>
      </c>
      <c r="I49" s="4"/>
      <c r="J49" s="7">
        <v>13726</v>
      </c>
      <c r="K49" s="4">
        <v>41742</v>
      </c>
      <c r="L49" s="7"/>
      <c r="M49" s="4"/>
      <c r="N49" s="7">
        <v>6696</v>
      </c>
      <c r="O49" s="4"/>
      <c r="P49" s="7"/>
      <c r="Q49" s="4">
        <v>-41210</v>
      </c>
      <c r="R49" s="7">
        <v>2273</v>
      </c>
      <c r="S49" s="4"/>
      <c r="T49" s="7"/>
      <c r="U49" s="4"/>
      <c r="V49" s="7">
        <v>2251</v>
      </c>
      <c r="W49" s="4">
        <v>0</v>
      </c>
      <c r="X49" s="7"/>
      <c r="Y49" s="4">
        <v>0</v>
      </c>
      <c r="Z49" s="7">
        <v>11205</v>
      </c>
      <c r="AA49" s="4">
        <f t="shared" si="0"/>
        <v>532</v>
      </c>
      <c r="AB49" s="7">
        <f t="shared" si="0"/>
        <v>66619</v>
      </c>
    </row>
    <row r="50" spans="1:28" ht="20.25" customHeight="1" thickBot="1" x14ac:dyDescent="0.35">
      <c r="A50" s="39"/>
      <c r="B50" s="1" t="s">
        <v>16</v>
      </c>
      <c r="C50" s="9"/>
      <c r="D50" s="10"/>
      <c r="E50" s="9"/>
      <c r="F50" s="10">
        <v>3207.97</v>
      </c>
      <c r="G50" s="9"/>
      <c r="H50" s="10">
        <v>2042.57</v>
      </c>
      <c r="I50" s="9"/>
      <c r="J50" s="10">
        <v>2370.1999999999998</v>
      </c>
      <c r="K50" s="9">
        <v>2494.36</v>
      </c>
      <c r="L50" s="10"/>
      <c r="M50" s="9"/>
      <c r="N50" s="10">
        <v>1197.21</v>
      </c>
      <c r="O50" s="9"/>
      <c r="P50" s="10"/>
      <c r="Q50" s="9">
        <v>-1107.83</v>
      </c>
      <c r="R50" s="10">
        <v>474.87</v>
      </c>
      <c r="S50" s="9"/>
      <c r="T50" s="10"/>
      <c r="U50" s="9"/>
      <c r="V50" s="10">
        <v>465.17</v>
      </c>
      <c r="W50" s="9">
        <v>835.42</v>
      </c>
      <c r="X50" s="10"/>
      <c r="Y50" s="9">
        <v>168.47</v>
      </c>
      <c r="Z50" s="10">
        <v>1947.03</v>
      </c>
      <c r="AA50" s="11">
        <f t="shared" si="0"/>
        <v>2390.42</v>
      </c>
      <c r="AB50" s="12">
        <f t="shared" si="0"/>
        <v>11705.020000000002</v>
      </c>
    </row>
    <row r="51" spans="1:28" ht="20.25" customHeight="1" thickBot="1" x14ac:dyDescent="0.35">
      <c r="A51" s="38" t="s">
        <v>57</v>
      </c>
      <c r="B51" s="2" t="s">
        <v>55</v>
      </c>
      <c r="C51" s="4"/>
      <c r="D51" s="7"/>
      <c r="E51" s="4">
        <v>0</v>
      </c>
      <c r="F51" s="7"/>
      <c r="G51" s="4"/>
      <c r="H51" s="7">
        <v>2078</v>
      </c>
      <c r="I51" s="4"/>
      <c r="J51" s="7">
        <v>615</v>
      </c>
      <c r="K51" s="4">
        <v>2194.36</v>
      </c>
      <c r="L51" s="7"/>
      <c r="M51" s="4"/>
      <c r="N51" s="7">
        <v>512</v>
      </c>
      <c r="O51" s="4"/>
      <c r="P51" s="7"/>
      <c r="Q51" s="4"/>
      <c r="R51" s="7"/>
      <c r="S51" s="4"/>
      <c r="T51" s="7"/>
      <c r="U51" s="4"/>
      <c r="V51" s="7">
        <v>230</v>
      </c>
      <c r="W51" s="4"/>
      <c r="X51" s="7"/>
      <c r="Y51" s="4"/>
      <c r="Z51" s="7">
        <v>230</v>
      </c>
      <c r="AA51" s="4">
        <f t="shared" si="0"/>
        <v>2194.36</v>
      </c>
      <c r="AB51" s="7">
        <f t="shared" si="0"/>
        <v>3665</v>
      </c>
    </row>
    <row r="52" spans="1:28" ht="20.25" customHeight="1" thickBot="1" x14ac:dyDescent="0.35">
      <c r="A52" s="39"/>
      <c r="B52" s="1" t="s">
        <v>16</v>
      </c>
      <c r="C52" s="9"/>
      <c r="D52" s="10"/>
      <c r="E52" s="9">
        <f>22.94+4.08</f>
        <v>27.020000000000003</v>
      </c>
      <c r="F52" s="10"/>
      <c r="G52" s="9"/>
      <c r="H52" s="10">
        <v>384.66</v>
      </c>
      <c r="I52" s="9"/>
      <c r="J52" s="10">
        <v>140.59</v>
      </c>
      <c r="K52" s="9">
        <v>22.49</v>
      </c>
      <c r="L52" s="10"/>
      <c r="M52" s="9"/>
      <c r="N52" s="10">
        <v>123.31</v>
      </c>
      <c r="O52" s="9"/>
      <c r="P52" s="10"/>
      <c r="Q52" s="9"/>
      <c r="R52" s="10"/>
      <c r="S52" s="9"/>
      <c r="T52" s="10"/>
      <c r="U52" s="9"/>
      <c r="V52" s="10">
        <v>81.239999999999995</v>
      </c>
      <c r="W52" s="9"/>
      <c r="X52" s="10"/>
      <c r="Y52" s="9"/>
      <c r="Z52" s="10">
        <v>81.2</v>
      </c>
      <c r="AA52" s="11">
        <f t="shared" si="0"/>
        <v>49.510000000000005</v>
      </c>
      <c r="AB52" s="12">
        <f t="shared" si="0"/>
        <v>811</v>
      </c>
    </row>
    <row r="53" spans="1:28" ht="20.25" customHeight="1" thickBot="1" x14ac:dyDescent="0.35">
      <c r="A53" s="38" t="s">
        <v>40</v>
      </c>
      <c r="B53" s="2" t="s">
        <v>55</v>
      </c>
      <c r="C53" s="4"/>
      <c r="D53" s="7"/>
      <c r="E53" s="4"/>
      <c r="F53" s="7">
        <v>355</v>
      </c>
      <c r="G53" s="4"/>
      <c r="H53" s="7">
        <v>653</v>
      </c>
      <c r="I53" s="4"/>
      <c r="J53" s="7">
        <v>78</v>
      </c>
      <c r="K53" s="4"/>
      <c r="L53" s="7"/>
      <c r="M53" s="4"/>
      <c r="N53" s="7">
        <v>77</v>
      </c>
      <c r="O53" s="4"/>
      <c r="P53" s="7"/>
      <c r="Q53" s="4"/>
      <c r="R53" s="7">
        <v>1120</v>
      </c>
      <c r="S53" s="4"/>
      <c r="T53" s="7"/>
      <c r="U53" s="4"/>
      <c r="V53" s="7">
        <v>1158</v>
      </c>
      <c r="W53" s="4"/>
      <c r="X53" s="7"/>
      <c r="Y53" s="4"/>
      <c r="Z53" s="7">
        <v>78</v>
      </c>
      <c r="AA53" s="4">
        <f t="shared" si="0"/>
        <v>0</v>
      </c>
      <c r="AB53" s="7">
        <f t="shared" si="0"/>
        <v>3519</v>
      </c>
    </row>
    <row r="54" spans="1:28" ht="20.25" customHeight="1" thickBot="1" x14ac:dyDescent="0.35">
      <c r="A54" s="39"/>
      <c r="B54" s="1" t="s">
        <v>16</v>
      </c>
      <c r="C54" s="9"/>
      <c r="D54" s="10"/>
      <c r="E54" s="9"/>
      <c r="F54" s="10">
        <v>96.33</v>
      </c>
      <c r="G54" s="9"/>
      <c r="H54" s="10">
        <v>139.79</v>
      </c>
      <c r="I54" s="9"/>
      <c r="J54" s="10">
        <v>39.72</v>
      </c>
      <c r="K54" s="9"/>
      <c r="L54" s="10"/>
      <c r="M54" s="9"/>
      <c r="N54" s="10">
        <v>41.24</v>
      </c>
      <c r="O54" s="9"/>
      <c r="P54" s="10"/>
      <c r="Q54" s="9"/>
      <c r="R54" s="10">
        <v>218.73</v>
      </c>
      <c r="S54" s="9"/>
      <c r="T54" s="10"/>
      <c r="U54" s="9"/>
      <c r="V54" s="10">
        <v>222.36</v>
      </c>
      <c r="W54" s="9"/>
      <c r="X54" s="10"/>
      <c r="Y54" s="9"/>
      <c r="Z54" s="10">
        <v>43.63</v>
      </c>
      <c r="AA54" s="11">
        <f t="shared" si="0"/>
        <v>0</v>
      </c>
      <c r="AB54" s="12">
        <f t="shared" si="0"/>
        <v>801.80000000000007</v>
      </c>
    </row>
    <row r="55" spans="1:28" ht="20.25" customHeight="1" thickBot="1" x14ac:dyDescent="0.35">
      <c r="A55" s="38" t="s">
        <v>73</v>
      </c>
      <c r="B55" s="2" t="s">
        <v>55</v>
      </c>
      <c r="C55" s="4"/>
      <c r="D55" s="7"/>
      <c r="E55" s="4"/>
      <c r="F55" s="7"/>
      <c r="G55" s="4"/>
      <c r="H55" s="7">
        <f>28+21</f>
        <v>49</v>
      </c>
      <c r="I55" s="4"/>
      <c r="J55" s="7"/>
      <c r="K55" s="4"/>
      <c r="L55" s="7">
        <v>28</v>
      </c>
      <c r="M55" s="4"/>
      <c r="N55" s="7"/>
      <c r="O55" s="4"/>
      <c r="P55" s="7">
        <v>29</v>
      </c>
      <c r="Q55" s="4"/>
      <c r="R55" s="7"/>
      <c r="S55" s="4"/>
      <c r="T55" s="7">
        <v>35</v>
      </c>
      <c r="U55" s="4"/>
      <c r="V55" s="7"/>
      <c r="W55" s="4"/>
      <c r="X55" s="7">
        <v>55</v>
      </c>
      <c r="Y55" s="4"/>
      <c r="Z55" s="7">
        <v>1</v>
      </c>
      <c r="AA55" s="4">
        <f t="shared" si="0"/>
        <v>0</v>
      </c>
      <c r="AB55" s="7">
        <f t="shared" si="0"/>
        <v>197</v>
      </c>
    </row>
    <row r="56" spans="1:28" ht="20.25" customHeight="1" thickBot="1" x14ac:dyDescent="0.35">
      <c r="A56" s="39"/>
      <c r="B56" s="1" t="s">
        <v>16</v>
      </c>
      <c r="C56" s="9"/>
      <c r="D56" s="10"/>
      <c r="E56" s="9"/>
      <c r="F56" s="10"/>
      <c r="G56" s="9"/>
      <c r="H56" s="10">
        <f>45.92+30.03</f>
        <v>75.95</v>
      </c>
      <c r="I56" s="9"/>
      <c r="J56" s="10"/>
      <c r="K56" s="9"/>
      <c r="L56" s="10">
        <v>28.11</v>
      </c>
      <c r="M56" s="9"/>
      <c r="N56" s="10"/>
      <c r="O56" s="9"/>
      <c r="P56" s="10">
        <v>28.38</v>
      </c>
      <c r="Q56" s="9"/>
      <c r="R56" s="10"/>
      <c r="S56" s="9"/>
      <c r="T56" s="10">
        <v>30.59</v>
      </c>
      <c r="U56" s="9"/>
      <c r="V56" s="10"/>
      <c r="W56" s="9"/>
      <c r="X56" s="10">
        <f>16.24+33.22</f>
        <v>49.459999999999994</v>
      </c>
      <c r="Y56" s="9"/>
      <c r="Z56" s="10">
        <v>36.89</v>
      </c>
      <c r="AA56" s="11">
        <f t="shared" si="0"/>
        <v>0</v>
      </c>
      <c r="AB56" s="12">
        <f t="shared" si="0"/>
        <v>249.38</v>
      </c>
    </row>
    <row r="57" spans="1:28" ht="20.25" customHeight="1" thickBot="1" x14ac:dyDescent="0.35">
      <c r="A57" s="38" t="s">
        <v>42</v>
      </c>
      <c r="B57" s="2" t="s">
        <v>55</v>
      </c>
      <c r="C57" s="4"/>
      <c r="D57" s="7"/>
      <c r="E57" s="4">
        <v>3976</v>
      </c>
      <c r="F57" s="7">
        <v>2524</v>
      </c>
      <c r="G57" s="4"/>
      <c r="H57" s="7">
        <v>400</v>
      </c>
      <c r="I57" s="4"/>
      <c r="J57" s="7">
        <v>1155</v>
      </c>
      <c r="K57" s="4">
        <v>3824</v>
      </c>
      <c r="L57" s="7"/>
      <c r="M57" s="4"/>
      <c r="N57" s="7">
        <v>439</v>
      </c>
      <c r="O57" s="4"/>
      <c r="P57" s="7"/>
      <c r="Q57" s="4">
        <v>549</v>
      </c>
      <c r="R57" s="7">
        <v>309</v>
      </c>
      <c r="S57" s="4"/>
      <c r="T57" s="7"/>
      <c r="U57" s="4"/>
      <c r="V57" s="7">
        <v>312</v>
      </c>
      <c r="W57" s="4">
        <v>785</v>
      </c>
      <c r="X57" s="7"/>
      <c r="Y57" s="4"/>
      <c r="Z57" s="7">
        <v>912</v>
      </c>
      <c r="AA57" s="4">
        <f t="shared" si="0"/>
        <v>9134</v>
      </c>
      <c r="AB57" s="7">
        <f t="shared" si="0"/>
        <v>6051</v>
      </c>
    </row>
    <row r="58" spans="1:28" ht="20.25" customHeight="1" thickBot="1" x14ac:dyDescent="0.35">
      <c r="A58" s="39"/>
      <c r="B58" s="1" t="s">
        <v>16</v>
      </c>
      <c r="C58" s="9"/>
      <c r="D58" s="10"/>
      <c r="E58" s="9">
        <v>264.17</v>
      </c>
      <c r="F58" s="10">
        <v>482.89</v>
      </c>
      <c r="G58" s="9"/>
      <c r="H58" s="10">
        <v>117.99</v>
      </c>
      <c r="I58" s="9"/>
      <c r="J58" s="10">
        <v>236.32</v>
      </c>
      <c r="K58" s="9">
        <v>267.37</v>
      </c>
      <c r="L58" s="10"/>
      <c r="M58" s="9"/>
      <c r="N58" s="10">
        <v>119.67</v>
      </c>
      <c r="O58" s="9"/>
      <c r="P58" s="10"/>
      <c r="Q58" s="9">
        <v>117.28</v>
      </c>
      <c r="R58" s="10">
        <v>107.13</v>
      </c>
      <c r="S58" s="9"/>
      <c r="T58" s="10"/>
      <c r="U58" s="9"/>
      <c r="V58" s="10">
        <v>106.22</v>
      </c>
      <c r="W58" s="9">
        <v>132.61000000000001</v>
      </c>
      <c r="X58" s="10"/>
      <c r="Y58" s="9"/>
      <c r="Z58" s="10">
        <v>205.52</v>
      </c>
      <c r="AA58" s="11">
        <f t="shared" si="0"/>
        <v>781.43</v>
      </c>
      <c r="AB58" s="12">
        <f t="shared" si="0"/>
        <v>1375.74</v>
      </c>
    </row>
    <row r="59" spans="1:28" ht="20.25" customHeight="1" thickBot="1" x14ac:dyDescent="0.35">
      <c r="A59" s="38" t="s">
        <v>43</v>
      </c>
      <c r="B59" s="2" t="s">
        <v>55</v>
      </c>
      <c r="C59" s="4"/>
      <c r="D59" s="7"/>
      <c r="E59" s="4"/>
      <c r="F59" s="7">
        <v>0</v>
      </c>
      <c r="G59" s="4"/>
      <c r="H59" s="7">
        <v>0</v>
      </c>
      <c r="I59" s="4"/>
      <c r="J59" s="7">
        <v>0</v>
      </c>
      <c r="K59" s="4"/>
      <c r="L59" s="7"/>
      <c r="M59" s="4"/>
      <c r="N59" s="7">
        <v>0</v>
      </c>
      <c r="O59" s="4"/>
      <c r="P59" s="7"/>
      <c r="Q59" s="4"/>
      <c r="R59" s="7">
        <v>0</v>
      </c>
      <c r="S59" s="4"/>
      <c r="T59" s="7"/>
      <c r="U59" s="4"/>
      <c r="V59" s="7">
        <v>0</v>
      </c>
      <c r="W59" s="4"/>
      <c r="X59" s="7"/>
      <c r="Y59" s="4"/>
      <c r="Z59" s="7">
        <v>0</v>
      </c>
      <c r="AA59" s="4">
        <f t="shared" si="0"/>
        <v>0</v>
      </c>
      <c r="AB59" s="7">
        <f t="shared" si="0"/>
        <v>0</v>
      </c>
    </row>
    <row r="60" spans="1:28" ht="20.25" customHeight="1" thickBot="1" x14ac:dyDescent="0.35">
      <c r="A60" s="39"/>
      <c r="B60" s="1" t="s">
        <v>16</v>
      </c>
      <c r="C60" s="9"/>
      <c r="D60" s="10"/>
      <c r="E60" s="9"/>
      <c r="F60" s="10">
        <v>42.45</v>
      </c>
      <c r="G60" s="9"/>
      <c r="H60" s="10">
        <v>37.17</v>
      </c>
      <c r="I60" s="9"/>
      <c r="J60" s="10">
        <v>30.53</v>
      </c>
      <c r="K60" s="9"/>
      <c r="L60" s="10"/>
      <c r="M60" s="9"/>
      <c r="N60" s="10">
        <v>32.67</v>
      </c>
      <c r="O60" s="9"/>
      <c r="P60" s="10"/>
      <c r="Q60" s="9"/>
      <c r="R60" s="10">
        <v>37.08</v>
      </c>
      <c r="S60" s="9"/>
      <c r="T60" s="10"/>
      <c r="U60" s="9"/>
      <c r="V60" s="10">
        <v>36.53</v>
      </c>
      <c r="W60" s="9"/>
      <c r="X60" s="10"/>
      <c r="Y60" s="9"/>
      <c r="Z60" s="10">
        <v>36.53</v>
      </c>
      <c r="AA60" s="11">
        <f t="shared" si="0"/>
        <v>0</v>
      </c>
      <c r="AB60" s="12">
        <f t="shared" si="0"/>
        <v>252.95999999999998</v>
      </c>
    </row>
    <row r="61" spans="1:28" ht="20.25" customHeight="1" thickBot="1" x14ac:dyDescent="0.35">
      <c r="A61" s="38" t="s">
        <v>44</v>
      </c>
      <c r="B61" s="2" t="s">
        <v>55</v>
      </c>
      <c r="C61" s="4"/>
      <c r="D61" s="7"/>
      <c r="E61" s="4"/>
      <c r="F61" s="7">
        <v>422</v>
      </c>
      <c r="G61" s="4"/>
      <c r="H61" s="7">
        <v>56</v>
      </c>
      <c r="I61" s="4"/>
      <c r="J61" s="7">
        <v>1320</v>
      </c>
      <c r="K61" s="4"/>
      <c r="L61" s="7"/>
      <c r="M61" s="4"/>
      <c r="N61" s="7"/>
      <c r="O61" s="4"/>
      <c r="P61" s="7"/>
      <c r="Q61" s="4"/>
      <c r="R61" s="7"/>
      <c r="S61" s="4"/>
      <c r="T61" s="7"/>
      <c r="U61" s="4"/>
      <c r="V61" s="7"/>
      <c r="W61" s="4"/>
      <c r="X61" s="7"/>
      <c r="Y61" s="4"/>
      <c r="Z61" s="7"/>
      <c r="AA61" s="4">
        <f t="shared" si="0"/>
        <v>0</v>
      </c>
      <c r="AB61" s="7">
        <f t="shared" si="0"/>
        <v>1798</v>
      </c>
    </row>
    <row r="62" spans="1:28" ht="20.25" customHeight="1" thickBot="1" x14ac:dyDescent="0.35">
      <c r="A62" s="39"/>
      <c r="B62" s="1" t="s">
        <v>16</v>
      </c>
      <c r="C62" s="9"/>
      <c r="D62" s="10"/>
      <c r="E62" s="9"/>
      <c r="F62" s="10">
        <v>107.58</v>
      </c>
      <c r="G62" s="9"/>
      <c r="H62" s="10">
        <v>41.61</v>
      </c>
      <c r="I62" s="9"/>
      <c r="J62" s="10">
        <v>248.01</v>
      </c>
      <c r="K62" s="9"/>
      <c r="L62" s="10"/>
      <c r="M62" s="9"/>
      <c r="N62" s="10"/>
      <c r="O62" s="9"/>
      <c r="P62" s="10"/>
      <c r="Q62" s="9"/>
      <c r="R62" s="10"/>
      <c r="S62" s="9"/>
      <c r="T62" s="10"/>
      <c r="U62" s="9"/>
      <c r="V62" s="10"/>
      <c r="W62" s="9"/>
      <c r="X62" s="10"/>
      <c r="Y62" s="9"/>
      <c r="Z62" s="10"/>
      <c r="AA62" s="11">
        <f t="shared" si="0"/>
        <v>0</v>
      </c>
      <c r="AB62" s="12">
        <f t="shared" si="0"/>
        <v>397.2</v>
      </c>
    </row>
    <row r="63" spans="1:28" ht="20.25" customHeight="1" thickBot="1" x14ac:dyDescent="0.35">
      <c r="A63" s="44" t="s">
        <v>1</v>
      </c>
      <c r="B63" s="46" t="s">
        <v>17</v>
      </c>
      <c r="C63" s="44" t="s">
        <v>2</v>
      </c>
      <c r="D63" s="48"/>
      <c r="E63" s="44" t="s">
        <v>3</v>
      </c>
      <c r="F63" s="48"/>
      <c r="G63" s="44" t="s">
        <v>4</v>
      </c>
      <c r="H63" s="48"/>
      <c r="I63" s="44" t="s">
        <v>5</v>
      </c>
      <c r="J63" s="48"/>
      <c r="K63" s="44" t="s">
        <v>6</v>
      </c>
      <c r="L63" s="48"/>
      <c r="M63" s="44" t="s">
        <v>7</v>
      </c>
      <c r="N63" s="48"/>
      <c r="O63" s="44" t="s">
        <v>8</v>
      </c>
      <c r="P63" s="48"/>
      <c r="Q63" s="44" t="s">
        <v>9</v>
      </c>
      <c r="R63" s="48"/>
      <c r="S63" s="44" t="s">
        <v>10</v>
      </c>
      <c r="T63" s="48"/>
      <c r="U63" s="44" t="s">
        <v>11</v>
      </c>
      <c r="V63" s="48"/>
      <c r="W63" s="44" t="s">
        <v>12</v>
      </c>
      <c r="X63" s="48"/>
      <c r="Y63" s="50" t="s">
        <v>13</v>
      </c>
      <c r="Z63" s="51"/>
      <c r="AA63" s="52" t="s">
        <v>64</v>
      </c>
      <c r="AB63" s="53"/>
    </row>
    <row r="64" spans="1:28" ht="20.25" customHeight="1" thickBot="1" x14ac:dyDescent="0.35">
      <c r="A64" s="45"/>
      <c r="B64" s="47"/>
      <c r="C64" s="3" t="s">
        <v>14</v>
      </c>
      <c r="D64" s="6" t="s">
        <v>15</v>
      </c>
      <c r="E64" s="3" t="s">
        <v>14</v>
      </c>
      <c r="F64" s="6" t="s">
        <v>15</v>
      </c>
      <c r="G64" s="3" t="s">
        <v>14</v>
      </c>
      <c r="H64" s="6" t="s">
        <v>15</v>
      </c>
      <c r="I64" s="3" t="s">
        <v>14</v>
      </c>
      <c r="J64" s="6" t="s">
        <v>15</v>
      </c>
      <c r="K64" s="3" t="s">
        <v>14</v>
      </c>
      <c r="L64" s="6" t="s">
        <v>15</v>
      </c>
      <c r="M64" s="3" t="s">
        <v>14</v>
      </c>
      <c r="N64" s="6" t="s">
        <v>15</v>
      </c>
      <c r="O64" s="3" t="s">
        <v>14</v>
      </c>
      <c r="P64" s="6" t="s">
        <v>15</v>
      </c>
      <c r="Q64" s="3" t="s">
        <v>14</v>
      </c>
      <c r="R64" s="6" t="s">
        <v>15</v>
      </c>
      <c r="S64" s="3" t="s">
        <v>14</v>
      </c>
      <c r="T64" s="6" t="s">
        <v>15</v>
      </c>
      <c r="U64" s="3" t="s">
        <v>14</v>
      </c>
      <c r="V64" s="6" t="s">
        <v>15</v>
      </c>
      <c r="W64" s="3" t="s">
        <v>14</v>
      </c>
      <c r="X64" s="6" t="s">
        <v>15</v>
      </c>
      <c r="Y64" s="5" t="s">
        <v>14</v>
      </c>
      <c r="Z64" s="8" t="s">
        <v>15</v>
      </c>
      <c r="AA64" s="5" t="s">
        <v>14</v>
      </c>
      <c r="AB64" s="8" t="s">
        <v>15</v>
      </c>
    </row>
    <row r="65" spans="1:28" ht="20.25" customHeight="1" thickBot="1" x14ac:dyDescent="0.35">
      <c r="A65" s="36" t="s">
        <v>45</v>
      </c>
      <c r="B65" s="2" t="s">
        <v>55</v>
      </c>
      <c r="C65" s="4"/>
      <c r="D65" s="7"/>
      <c r="E65" s="4"/>
      <c r="F65" s="7">
        <v>45</v>
      </c>
      <c r="G65" s="4"/>
      <c r="H65" s="7">
        <v>-46</v>
      </c>
      <c r="I65" s="4"/>
      <c r="J65" s="7">
        <v>109</v>
      </c>
      <c r="K65" s="4"/>
      <c r="L65" s="7"/>
      <c r="M65" s="4"/>
      <c r="N65" s="7">
        <v>125</v>
      </c>
      <c r="O65" s="4"/>
      <c r="P65" s="7"/>
      <c r="Q65" s="4"/>
      <c r="R65" s="7">
        <v>22</v>
      </c>
      <c r="S65" s="4"/>
      <c r="T65" s="7"/>
      <c r="U65" s="4"/>
      <c r="V65" s="7">
        <v>0</v>
      </c>
      <c r="W65" s="4"/>
      <c r="X65" s="7"/>
      <c r="Y65" s="4"/>
      <c r="Z65" s="7">
        <v>0</v>
      </c>
      <c r="AA65" s="4">
        <f t="shared" ref="AA65:AB67" si="1">C65+E65+G65+I65+K65+M65+O65+Q65+S65+U65+W65+Y65</f>
        <v>0</v>
      </c>
      <c r="AB65" s="7">
        <f t="shared" si="1"/>
        <v>255</v>
      </c>
    </row>
    <row r="66" spans="1:28" ht="20.25" customHeight="1" thickBot="1" x14ac:dyDescent="0.35">
      <c r="A66" s="37"/>
      <c r="B66" s="1" t="s">
        <v>16</v>
      </c>
      <c r="C66" s="9"/>
      <c r="D66" s="10"/>
      <c r="E66" s="9"/>
      <c r="F66" s="10">
        <v>53.63</v>
      </c>
      <c r="G66" s="9"/>
      <c r="H66" s="10">
        <v>20.67</v>
      </c>
      <c r="I66" s="9"/>
      <c r="J66" s="10">
        <v>55.71</v>
      </c>
      <c r="K66" s="9"/>
      <c r="L66" s="10"/>
      <c r="M66" s="9"/>
      <c r="N66" s="10">
        <v>58.38</v>
      </c>
      <c r="O66" s="9"/>
      <c r="P66" s="10"/>
      <c r="Q66" s="9"/>
      <c r="R66" s="10">
        <v>47.38</v>
      </c>
      <c r="S66" s="9"/>
      <c r="T66" s="10"/>
      <c r="U66" s="9"/>
      <c r="V66" s="10">
        <v>43.04</v>
      </c>
      <c r="W66" s="9"/>
      <c r="X66" s="10"/>
      <c r="Y66" s="9"/>
      <c r="Z66" s="10">
        <v>43.04</v>
      </c>
      <c r="AA66" s="11">
        <f t="shared" si="1"/>
        <v>0</v>
      </c>
      <c r="AB66" s="12">
        <f t="shared" si="1"/>
        <v>321.85000000000002</v>
      </c>
    </row>
    <row r="67" spans="1:28" ht="20.25" customHeight="1" thickBot="1" x14ac:dyDescent="0.35">
      <c r="A67" s="36" t="s">
        <v>46</v>
      </c>
      <c r="B67" s="2" t="s">
        <v>55</v>
      </c>
      <c r="C67" s="4"/>
      <c r="D67" s="7"/>
      <c r="E67" s="4"/>
      <c r="F67" s="7"/>
      <c r="G67" s="4"/>
      <c r="H67" s="7">
        <f>405+652</f>
        <v>1057</v>
      </c>
      <c r="I67" s="4"/>
      <c r="J67" s="7"/>
      <c r="K67" s="4"/>
      <c r="L67" s="7">
        <v>707</v>
      </c>
      <c r="M67" s="4"/>
      <c r="N67" s="7"/>
      <c r="O67" s="4"/>
      <c r="P67" s="7">
        <v>789</v>
      </c>
      <c r="Q67" s="4"/>
      <c r="R67" s="7"/>
      <c r="S67" s="4"/>
      <c r="T67" s="7">
        <v>771</v>
      </c>
      <c r="U67" s="4"/>
      <c r="V67" s="7"/>
      <c r="W67" s="4"/>
      <c r="X67" s="7">
        <v>687</v>
      </c>
      <c r="Y67" s="4"/>
      <c r="Z67" s="7"/>
      <c r="AA67" s="4">
        <f t="shared" si="1"/>
        <v>0</v>
      </c>
      <c r="AB67" s="7">
        <f t="shared" si="1"/>
        <v>4011</v>
      </c>
    </row>
    <row r="68" spans="1:28" ht="20.25" customHeight="1" thickBot="1" x14ac:dyDescent="0.35">
      <c r="A68" s="37"/>
      <c r="B68" s="1" t="s">
        <v>16</v>
      </c>
      <c r="C68" s="9"/>
      <c r="D68" s="10"/>
      <c r="E68" s="9"/>
      <c r="F68" s="10"/>
      <c r="G68" s="9"/>
      <c r="H68" s="10">
        <f>117.02+114.8</f>
        <v>231.82</v>
      </c>
      <c r="I68" s="9"/>
      <c r="J68" s="10"/>
      <c r="K68" s="9"/>
      <c r="L68" s="10">
        <v>146.91</v>
      </c>
      <c r="M68" s="9"/>
      <c r="N68" s="10"/>
      <c r="O68" s="9"/>
      <c r="P68" s="10">
        <v>160.66999999999999</v>
      </c>
      <c r="Q68" s="9"/>
      <c r="R68" s="10"/>
      <c r="S68" s="9"/>
      <c r="T68" s="10">
        <v>159.15</v>
      </c>
      <c r="U68" s="9"/>
      <c r="V68" s="10"/>
      <c r="W68" s="9"/>
      <c r="X68" s="10">
        <v>145.99</v>
      </c>
      <c r="Y68" s="9"/>
      <c r="Z68" s="10"/>
      <c r="AA68" s="11">
        <f t="shared" ref="AA68:AB96" si="2">C68+E68+G68+I68+K68+M68+O68+Q68+S68+U68+W68+Y68</f>
        <v>0</v>
      </c>
      <c r="AB68" s="12">
        <f t="shared" si="2"/>
        <v>844.54</v>
      </c>
    </row>
    <row r="69" spans="1:28" ht="20.25" customHeight="1" thickBot="1" x14ac:dyDescent="0.35">
      <c r="A69" s="38" t="s">
        <v>47</v>
      </c>
      <c r="B69" s="2" t="s">
        <v>55</v>
      </c>
      <c r="C69" s="4"/>
      <c r="D69" s="7"/>
      <c r="E69" s="4"/>
      <c r="F69" s="7">
        <v>47</v>
      </c>
      <c r="G69" s="4"/>
      <c r="H69" s="7">
        <v>81</v>
      </c>
      <c r="I69" s="4"/>
      <c r="J69" s="7"/>
      <c r="K69" s="4"/>
      <c r="L69" s="7">
        <v>111</v>
      </c>
      <c r="M69" s="4"/>
      <c r="N69" s="7"/>
      <c r="O69" s="4"/>
      <c r="P69" s="7">
        <v>49</v>
      </c>
      <c r="Q69" s="4"/>
      <c r="R69" s="7"/>
      <c r="S69" s="4"/>
      <c r="T69" s="7">
        <v>37</v>
      </c>
      <c r="U69" s="4"/>
      <c r="V69" s="7"/>
      <c r="W69" s="4"/>
      <c r="X69" s="7">
        <v>64</v>
      </c>
      <c r="Y69" s="4"/>
      <c r="Z69" s="7"/>
      <c r="AA69" s="4">
        <f t="shared" si="2"/>
        <v>0</v>
      </c>
      <c r="AB69" s="7">
        <f t="shared" si="2"/>
        <v>389</v>
      </c>
    </row>
    <row r="70" spans="1:28" ht="20.25" customHeight="1" thickBot="1" x14ac:dyDescent="0.35">
      <c r="A70" s="39"/>
      <c r="B70" s="1" t="s">
        <v>16</v>
      </c>
      <c r="C70" s="9"/>
      <c r="D70" s="10"/>
      <c r="E70" s="9"/>
      <c r="F70" s="10">
        <v>72.7</v>
      </c>
      <c r="G70" s="9"/>
      <c r="H70" s="10">
        <v>124.69</v>
      </c>
      <c r="I70" s="9"/>
      <c r="J70" s="10"/>
      <c r="K70" s="9"/>
      <c r="L70" s="10">
        <v>83.41</v>
      </c>
      <c r="M70" s="9"/>
      <c r="N70" s="10"/>
      <c r="O70" s="9"/>
      <c r="P70" s="10">
        <v>73.02</v>
      </c>
      <c r="Q70" s="9"/>
      <c r="R70" s="10"/>
      <c r="S70" s="9"/>
      <c r="T70" s="10">
        <v>88</v>
      </c>
      <c r="U70" s="9"/>
      <c r="V70" s="10"/>
      <c r="W70" s="9"/>
      <c r="X70" s="10">
        <v>95.3</v>
      </c>
      <c r="Y70" s="9"/>
      <c r="Z70" s="10"/>
      <c r="AA70" s="11">
        <f t="shared" si="2"/>
        <v>0</v>
      </c>
      <c r="AB70" s="12">
        <f t="shared" si="2"/>
        <v>537.11999999999989</v>
      </c>
    </row>
    <row r="71" spans="1:28" ht="20.25" customHeight="1" thickBot="1" x14ac:dyDescent="0.35">
      <c r="A71" s="38" t="s">
        <v>48</v>
      </c>
      <c r="B71" s="2" t="s">
        <v>55</v>
      </c>
      <c r="C71" s="4"/>
      <c r="D71" s="7"/>
      <c r="E71" s="4"/>
      <c r="F71" s="7">
        <v>0</v>
      </c>
      <c r="G71" s="4"/>
      <c r="H71" s="7">
        <v>0</v>
      </c>
      <c r="I71" s="4"/>
      <c r="J71" s="7"/>
      <c r="K71" s="4"/>
      <c r="L71" s="7">
        <v>0</v>
      </c>
      <c r="M71" s="4"/>
      <c r="N71" s="7">
        <v>0</v>
      </c>
      <c r="O71" s="4"/>
      <c r="P71" s="7">
        <v>0</v>
      </c>
      <c r="Q71" s="4"/>
      <c r="R71" s="7"/>
      <c r="S71" s="4"/>
      <c r="T71" s="7">
        <v>0</v>
      </c>
      <c r="U71" s="4"/>
      <c r="V71" s="7"/>
      <c r="W71" s="4"/>
      <c r="X71" s="7">
        <v>0</v>
      </c>
      <c r="Y71" s="4"/>
      <c r="Z71" s="7"/>
      <c r="AA71" s="4">
        <f t="shared" si="2"/>
        <v>0</v>
      </c>
      <c r="AB71" s="7">
        <f t="shared" si="2"/>
        <v>0</v>
      </c>
    </row>
    <row r="72" spans="1:28" ht="20.25" customHeight="1" thickBot="1" x14ac:dyDescent="0.35">
      <c r="A72" s="39"/>
      <c r="B72" s="1" t="s">
        <v>16</v>
      </c>
      <c r="C72" s="9"/>
      <c r="D72" s="10"/>
      <c r="E72" s="9"/>
      <c r="F72" s="10">
        <v>28.39</v>
      </c>
      <c r="G72" s="9"/>
      <c r="H72" s="10">
        <v>49.11</v>
      </c>
      <c r="I72" s="9"/>
      <c r="J72" s="10"/>
      <c r="K72" s="9"/>
      <c r="L72" s="10">
        <v>28.33</v>
      </c>
      <c r="M72" s="9"/>
      <c r="N72" s="10">
        <v>28.34</v>
      </c>
      <c r="O72" s="9"/>
      <c r="P72" s="10">
        <v>28.33</v>
      </c>
      <c r="Q72" s="9"/>
      <c r="R72" s="10"/>
      <c r="S72" s="9"/>
      <c r="T72" s="10">
        <v>30.75</v>
      </c>
      <c r="U72" s="9"/>
      <c r="V72" s="10"/>
      <c r="W72" s="9"/>
      <c r="X72" s="10">
        <v>32.29</v>
      </c>
      <c r="Y72" s="9"/>
      <c r="Z72" s="10"/>
      <c r="AA72" s="11">
        <f t="shared" si="2"/>
        <v>0</v>
      </c>
      <c r="AB72" s="12">
        <f t="shared" si="2"/>
        <v>225.54</v>
      </c>
    </row>
    <row r="73" spans="1:28" ht="20.25" customHeight="1" thickBot="1" x14ac:dyDescent="0.35">
      <c r="A73" s="38" t="s">
        <v>49</v>
      </c>
      <c r="B73" s="2" t="s">
        <v>55</v>
      </c>
      <c r="C73" s="4"/>
      <c r="D73" s="7">
        <v>0</v>
      </c>
      <c r="E73" s="4"/>
      <c r="F73" s="7"/>
      <c r="G73" s="4"/>
      <c r="H73" s="7">
        <f>313+82-31558+232</f>
        <v>-30931</v>
      </c>
      <c r="I73" s="4"/>
      <c r="J73" s="7"/>
      <c r="K73" s="4"/>
      <c r="L73" s="7">
        <f>1+72+144</f>
        <v>217</v>
      </c>
      <c r="M73" s="4"/>
      <c r="N73" s="7"/>
      <c r="O73" s="4"/>
      <c r="P73" s="7">
        <f>129+7+188</f>
        <v>324</v>
      </c>
      <c r="Q73" s="4"/>
      <c r="R73" s="7"/>
      <c r="S73" s="4"/>
      <c r="T73" s="7">
        <f>357+17+211</f>
        <v>585</v>
      </c>
      <c r="U73" s="4"/>
      <c r="V73" s="7"/>
      <c r="W73" s="4"/>
      <c r="X73" s="7">
        <f>145+29+207</f>
        <v>381</v>
      </c>
      <c r="Y73" s="4"/>
      <c r="Z73" s="7"/>
      <c r="AA73" s="4">
        <f t="shared" si="2"/>
        <v>0</v>
      </c>
      <c r="AB73" s="7">
        <f t="shared" si="2"/>
        <v>-29424</v>
      </c>
    </row>
    <row r="74" spans="1:28" ht="20.25" customHeight="1" thickBot="1" x14ac:dyDescent="0.35">
      <c r="A74" s="39"/>
      <c r="B74" s="1" t="s">
        <v>16</v>
      </c>
      <c r="C74" s="9"/>
      <c r="D74" s="10">
        <v>46.05</v>
      </c>
      <c r="E74" s="9"/>
      <c r="F74" s="10"/>
      <c r="G74" s="9"/>
      <c r="H74" s="10">
        <f>132.37+93.63-5153.97+86.24</f>
        <v>-4841.7300000000005</v>
      </c>
      <c r="I74" s="9"/>
      <c r="J74" s="10"/>
      <c r="K74" s="9"/>
      <c r="L74" s="10">
        <f>32.84+58.13+70.19</f>
        <v>161.16</v>
      </c>
      <c r="M74" s="9"/>
      <c r="N74" s="10"/>
      <c r="O74" s="9"/>
      <c r="P74" s="10">
        <f>67.67+33.85+77.57</f>
        <v>179.09</v>
      </c>
      <c r="Q74" s="9"/>
      <c r="R74" s="10"/>
      <c r="S74" s="9"/>
      <c r="T74" s="10">
        <f>118.87+41.77+94.56</f>
        <v>255.20000000000002</v>
      </c>
      <c r="U74" s="9"/>
      <c r="V74" s="10"/>
      <c r="W74" s="9"/>
      <c r="X74" s="10">
        <f>78.57+41.33+88.83</f>
        <v>208.73</v>
      </c>
      <c r="Y74" s="9"/>
      <c r="Z74" s="10"/>
      <c r="AA74" s="11">
        <f t="shared" si="2"/>
        <v>0</v>
      </c>
      <c r="AB74" s="12">
        <f t="shared" si="2"/>
        <v>-3991.5000000000005</v>
      </c>
    </row>
    <row r="75" spans="1:28" ht="20.25" customHeight="1" thickBot="1" x14ac:dyDescent="0.35">
      <c r="A75" s="38" t="s">
        <v>58</v>
      </c>
      <c r="B75" s="2" t="s">
        <v>55</v>
      </c>
      <c r="C75" s="4"/>
      <c r="D75" s="7">
        <v>2</v>
      </c>
      <c r="E75" s="4"/>
      <c r="F75" s="7"/>
      <c r="G75" s="4"/>
      <c r="H75" s="7">
        <v>-13</v>
      </c>
      <c r="I75" s="4"/>
      <c r="J75" s="7">
        <v>11</v>
      </c>
      <c r="K75" s="4"/>
      <c r="L75" s="7"/>
      <c r="M75" s="4"/>
      <c r="N75" s="7">
        <v>6</v>
      </c>
      <c r="O75" s="4"/>
      <c r="P75" s="7"/>
      <c r="Q75" s="4"/>
      <c r="R75" s="7">
        <v>5</v>
      </c>
      <c r="S75" s="4"/>
      <c r="T75" s="7"/>
      <c r="U75" s="4"/>
      <c r="V75" s="7">
        <v>0</v>
      </c>
      <c r="W75" s="4"/>
      <c r="X75" s="7"/>
      <c r="Y75" s="4"/>
      <c r="Z75" s="7">
        <v>10</v>
      </c>
      <c r="AA75" s="4">
        <f t="shared" si="2"/>
        <v>0</v>
      </c>
      <c r="AB75" s="7">
        <f t="shared" si="2"/>
        <v>21</v>
      </c>
    </row>
    <row r="76" spans="1:28" ht="20.25" customHeight="1" thickBot="1" x14ac:dyDescent="0.35">
      <c r="A76" s="39"/>
      <c r="B76" s="1" t="s">
        <v>16</v>
      </c>
      <c r="C76" s="9"/>
      <c r="D76" s="10">
        <v>36.97</v>
      </c>
      <c r="E76" s="9"/>
      <c r="F76" s="10"/>
      <c r="G76" s="9"/>
      <c r="H76" s="10">
        <v>46.52</v>
      </c>
      <c r="I76" s="9"/>
      <c r="J76" s="10">
        <v>30.19</v>
      </c>
      <c r="K76" s="9"/>
      <c r="L76" s="10"/>
      <c r="M76" s="9"/>
      <c r="N76" s="10">
        <v>29.35</v>
      </c>
      <c r="O76" s="9"/>
      <c r="P76" s="10"/>
      <c r="Q76" s="9"/>
      <c r="R76" s="10">
        <v>32.29</v>
      </c>
      <c r="S76" s="9"/>
      <c r="T76" s="10"/>
      <c r="U76" s="9"/>
      <c r="V76" s="10">
        <v>27.49</v>
      </c>
      <c r="W76" s="9"/>
      <c r="X76" s="10"/>
      <c r="Y76" s="9"/>
      <c r="Z76" s="10">
        <v>35.64</v>
      </c>
      <c r="AA76" s="11">
        <f t="shared" si="2"/>
        <v>0</v>
      </c>
      <c r="AB76" s="12">
        <f t="shared" si="2"/>
        <v>238.45</v>
      </c>
    </row>
    <row r="77" spans="1:28" ht="20.25" customHeight="1" thickBot="1" x14ac:dyDescent="0.35">
      <c r="A77" s="38" t="s">
        <v>50</v>
      </c>
      <c r="B77" s="2" t="s">
        <v>55</v>
      </c>
      <c r="C77" s="4"/>
      <c r="D77" s="7">
        <v>2</v>
      </c>
      <c r="E77" s="4"/>
      <c r="F77" s="7"/>
      <c r="G77" s="4"/>
      <c r="H77" s="7">
        <v>15</v>
      </c>
      <c r="I77" s="4"/>
      <c r="J77" s="7">
        <v>-45</v>
      </c>
      <c r="K77" s="4"/>
      <c r="L77" s="7"/>
      <c r="M77" s="4"/>
      <c r="N77" s="7"/>
      <c r="O77" s="4"/>
      <c r="P77" s="7"/>
      <c r="Q77" s="4"/>
      <c r="R77" s="7">
        <v>0</v>
      </c>
      <c r="S77" s="4"/>
      <c r="T77" s="7"/>
      <c r="U77" s="4"/>
      <c r="V77" s="7">
        <v>0</v>
      </c>
      <c r="W77" s="4"/>
      <c r="X77" s="7"/>
      <c r="Y77" s="4"/>
      <c r="Z77" s="7">
        <v>0</v>
      </c>
      <c r="AA77" s="4">
        <f t="shared" si="2"/>
        <v>0</v>
      </c>
      <c r="AB77" s="7">
        <f t="shared" si="2"/>
        <v>-28</v>
      </c>
    </row>
    <row r="78" spans="1:28" ht="20.25" customHeight="1" thickBot="1" x14ac:dyDescent="0.35">
      <c r="A78" s="39"/>
      <c r="B78" s="1" t="s">
        <v>16</v>
      </c>
      <c r="C78" s="9"/>
      <c r="D78" s="10">
        <v>36.97</v>
      </c>
      <c r="E78" s="9"/>
      <c r="F78" s="10"/>
      <c r="G78" s="9"/>
      <c r="H78" s="10">
        <v>51.13</v>
      </c>
      <c r="I78" s="9"/>
      <c r="J78" s="10">
        <v>20.79</v>
      </c>
      <c r="K78" s="9"/>
      <c r="L78" s="10"/>
      <c r="M78" s="9"/>
      <c r="N78" s="10"/>
      <c r="O78" s="9"/>
      <c r="P78" s="10"/>
      <c r="Q78" s="9"/>
      <c r="R78" s="10">
        <v>31.45</v>
      </c>
      <c r="S78" s="9"/>
      <c r="T78" s="10"/>
      <c r="U78" s="9"/>
      <c r="V78" s="10">
        <v>30.71</v>
      </c>
      <c r="W78" s="9"/>
      <c r="X78" s="10"/>
      <c r="Y78" s="9"/>
      <c r="Z78" s="10">
        <v>30.76</v>
      </c>
      <c r="AA78" s="11">
        <f t="shared" si="2"/>
        <v>0</v>
      </c>
      <c r="AB78" s="12">
        <f t="shared" si="2"/>
        <v>201.80999999999997</v>
      </c>
    </row>
    <row r="79" spans="1:28" ht="20.25" customHeight="1" thickBot="1" x14ac:dyDescent="0.35">
      <c r="A79" s="38" t="s">
        <v>51</v>
      </c>
      <c r="B79" s="2" t="s">
        <v>55</v>
      </c>
      <c r="C79" s="4"/>
      <c r="D79" s="7"/>
      <c r="E79" s="4"/>
      <c r="F79" s="7">
        <v>311</v>
      </c>
      <c r="G79" s="4"/>
      <c r="H79" s="7">
        <v>2035</v>
      </c>
      <c r="I79" s="4"/>
      <c r="J79" s="7"/>
      <c r="K79" s="4"/>
      <c r="L79" s="7"/>
      <c r="M79" s="4"/>
      <c r="N79" s="7">
        <v>64</v>
      </c>
      <c r="O79" s="4"/>
      <c r="P79" s="7"/>
      <c r="Q79" s="4"/>
      <c r="R79" s="7">
        <v>50</v>
      </c>
      <c r="S79" s="4"/>
      <c r="T79" s="7"/>
      <c r="U79" s="4"/>
      <c r="V79" s="7">
        <v>121</v>
      </c>
      <c r="W79" s="4"/>
      <c r="X79" s="7"/>
      <c r="Y79" s="4"/>
      <c r="Z79" s="7">
        <v>73</v>
      </c>
      <c r="AA79" s="4">
        <f t="shared" si="2"/>
        <v>0</v>
      </c>
      <c r="AB79" s="7">
        <f t="shared" si="2"/>
        <v>2654</v>
      </c>
    </row>
    <row r="80" spans="1:28" ht="20.25" customHeight="1" thickBot="1" x14ac:dyDescent="0.35">
      <c r="A80" s="39"/>
      <c r="B80" s="1" t="s">
        <v>16</v>
      </c>
      <c r="C80" s="9"/>
      <c r="D80" s="10"/>
      <c r="E80" s="9"/>
      <c r="F80" s="10">
        <v>88.79</v>
      </c>
      <c r="G80" s="9"/>
      <c r="H80" s="10">
        <v>383.28</v>
      </c>
      <c r="I80" s="9"/>
      <c r="J80" s="10"/>
      <c r="K80" s="9"/>
      <c r="L80" s="10"/>
      <c r="M80" s="9"/>
      <c r="N80" s="10">
        <v>39.07</v>
      </c>
      <c r="O80" s="9"/>
      <c r="P80" s="10"/>
      <c r="Q80" s="9"/>
      <c r="R80" s="10">
        <v>39.840000000000003</v>
      </c>
      <c r="S80" s="9"/>
      <c r="T80" s="10"/>
      <c r="U80" s="9"/>
      <c r="V80" s="10">
        <v>50.73</v>
      </c>
      <c r="W80" s="9"/>
      <c r="X80" s="10"/>
      <c r="Y80" s="9"/>
      <c r="Z80" s="10">
        <v>42.83</v>
      </c>
      <c r="AA80" s="11">
        <f t="shared" si="2"/>
        <v>0</v>
      </c>
      <c r="AB80" s="12">
        <f t="shared" si="2"/>
        <v>644.54000000000008</v>
      </c>
    </row>
    <row r="81" spans="1:28" ht="20.25" customHeight="1" thickBot="1" x14ac:dyDescent="0.35">
      <c r="A81" s="38" t="s">
        <v>52</v>
      </c>
      <c r="B81" s="2" t="s">
        <v>55</v>
      </c>
      <c r="C81" s="4"/>
      <c r="D81" s="7">
        <v>223</v>
      </c>
      <c r="E81" s="4"/>
      <c r="F81" s="7"/>
      <c r="G81" s="4"/>
      <c r="H81" s="7">
        <v>24</v>
      </c>
      <c r="I81" s="4"/>
      <c r="J81" s="7"/>
      <c r="K81" s="4"/>
      <c r="L81" s="7">
        <v>34</v>
      </c>
      <c r="M81" s="4"/>
      <c r="N81" s="7"/>
      <c r="O81" s="4"/>
      <c r="P81" s="7">
        <v>38</v>
      </c>
      <c r="Q81" s="4"/>
      <c r="R81" s="7"/>
      <c r="S81" s="4"/>
      <c r="T81" s="7">
        <v>39</v>
      </c>
      <c r="U81" s="4"/>
      <c r="V81" s="7"/>
      <c r="W81" s="4"/>
      <c r="X81" s="7">
        <v>39</v>
      </c>
      <c r="Y81" s="4"/>
      <c r="Z81" s="7"/>
      <c r="AA81" s="4">
        <f t="shared" si="2"/>
        <v>0</v>
      </c>
      <c r="AB81" s="7">
        <f t="shared" si="2"/>
        <v>397</v>
      </c>
    </row>
    <row r="82" spans="1:28" ht="20.25" customHeight="1" thickBot="1" x14ac:dyDescent="0.35">
      <c r="A82" s="39"/>
      <c r="B82" s="1" t="s">
        <v>16</v>
      </c>
      <c r="C82" s="9"/>
      <c r="D82" s="10">
        <v>82.84</v>
      </c>
      <c r="E82" s="9"/>
      <c r="F82" s="10"/>
      <c r="G82" s="9"/>
      <c r="H82" s="10">
        <v>83.23</v>
      </c>
      <c r="I82" s="9"/>
      <c r="J82" s="10"/>
      <c r="K82" s="9"/>
      <c r="L82" s="10">
        <v>51.76</v>
      </c>
      <c r="M82" s="9"/>
      <c r="N82" s="10"/>
      <c r="O82" s="9"/>
      <c r="P82" s="10">
        <v>52.43</v>
      </c>
      <c r="Q82" s="9"/>
      <c r="R82" s="10"/>
      <c r="S82" s="9"/>
      <c r="T82" s="10">
        <v>62.47</v>
      </c>
      <c r="U82" s="9"/>
      <c r="V82" s="10"/>
      <c r="W82" s="9"/>
      <c r="X82" s="10">
        <v>64.56</v>
      </c>
      <c r="Y82" s="9"/>
      <c r="Z82" s="10"/>
      <c r="AA82" s="11">
        <f t="shared" si="2"/>
        <v>0</v>
      </c>
      <c r="AB82" s="12">
        <f t="shared" si="2"/>
        <v>397.29</v>
      </c>
    </row>
    <row r="83" spans="1:28" ht="20.25" customHeight="1" thickBot="1" x14ac:dyDescent="0.35">
      <c r="A83" s="38" t="s">
        <v>53</v>
      </c>
      <c r="B83" s="2" t="s">
        <v>55</v>
      </c>
      <c r="C83" s="4"/>
      <c r="D83" s="7"/>
      <c r="E83" s="4"/>
      <c r="F83" s="7">
        <v>99</v>
      </c>
      <c r="G83" s="4"/>
      <c r="H83" s="7">
        <v>177</v>
      </c>
      <c r="I83" s="4"/>
      <c r="J83" s="7">
        <v>2</v>
      </c>
      <c r="K83" s="4"/>
      <c r="L83" s="7"/>
      <c r="M83" s="4"/>
      <c r="N83" s="7">
        <v>0</v>
      </c>
      <c r="O83" s="4"/>
      <c r="P83" s="7"/>
      <c r="Q83" s="4"/>
      <c r="R83" s="7">
        <v>0</v>
      </c>
      <c r="S83" s="4"/>
      <c r="T83" s="7"/>
      <c r="U83" s="4"/>
      <c r="V83" s="7">
        <v>0</v>
      </c>
      <c r="W83" s="4"/>
      <c r="X83" s="7"/>
      <c r="Y83" s="4"/>
      <c r="Z83" s="7">
        <v>0</v>
      </c>
      <c r="AA83" s="4">
        <f t="shared" si="2"/>
        <v>0</v>
      </c>
      <c r="AB83" s="7">
        <f t="shared" si="2"/>
        <v>278</v>
      </c>
    </row>
    <row r="84" spans="1:28" ht="20.25" customHeight="1" thickBot="1" x14ac:dyDescent="0.35">
      <c r="A84" s="39"/>
      <c r="B84" s="1" t="s">
        <v>16</v>
      </c>
      <c r="C84" s="9"/>
      <c r="D84" s="10"/>
      <c r="E84" s="9"/>
      <c r="F84" s="10">
        <v>43.62</v>
      </c>
      <c r="G84" s="9"/>
      <c r="H84" s="10">
        <v>35.26</v>
      </c>
      <c r="I84" s="9"/>
      <c r="J84" s="10">
        <v>24.54</v>
      </c>
      <c r="K84" s="9"/>
      <c r="L84" s="10"/>
      <c r="M84" s="9"/>
      <c r="N84" s="10">
        <v>24.64</v>
      </c>
      <c r="O84" s="9"/>
      <c r="P84" s="10"/>
      <c r="Q84" s="9"/>
      <c r="R84" s="10">
        <v>24.53</v>
      </c>
      <c r="S84" s="9"/>
      <c r="T84" s="10"/>
      <c r="U84" s="9"/>
      <c r="V84" s="10">
        <v>24.11</v>
      </c>
      <c r="W84" s="9"/>
      <c r="X84" s="10"/>
      <c r="Y84" s="9"/>
      <c r="Z84" s="10">
        <v>24.11</v>
      </c>
      <c r="AA84" s="11">
        <f t="shared" si="2"/>
        <v>0</v>
      </c>
      <c r="AB84" s="12">
        <f t="shared" si="2"/>
        <v>200.81</v>
      </c>
    </row>
    <row r="85" spans="1:28" ht="20.25" customHeight="1" thickBot="1" x14ac:dyDescent="0.35">
      <c r="A85" s="38" t="s">
        <v>54</v>
      </c>
      <c r="B85" s="2" t="s">
        <v>55</v>
      </c>
      <c r="C85" s="4"/>
      <c r="D85" s="7"/>
      <c r="E85" s="4"/>
      <c r="F85" s="7"/>
      <c r="G85" s="4"/>
      <c r="H85" s="7">
        <f>9+15-2723</f>
        <v>-2699</v>
      </c>
      <c r="I85" s="4"/>
      <c r="J85" s="7"/>
      <c r="K85" s="4"/>
      <c r="L85" s="7">
        <f>0-135</f>
        <v>-135</v>
      </c>
      <c r="M85" s="4"/>
      <c r="N85" s="7"/>
      <c r="O85" s="4"/>
      <c r="P85" s="7">
        <f>0+0</f>
        <v>0</v>
      </c>
      <c r="Q85" s="4"/>
      <c r="R85" s="7"/>
      <c r="S85" s="4"/>
      <c r="T85" s="7">
        <v>0</v>
      </c>
      <c r="U85" s="4"/>
      <c r="V85" s="7"/>
      <c r="W85" s="4"/>
      <c r="X85" s="7">
        <v>0</v>
      </c>
      <c r="Y85" s="4"/>
      <c r="Z85" s="7"/>
      <c r="AA85" s="4">
        <f t="shared" si="2"/>
        <v>0</v>
      </c>
      <c r="AB85" s="7">
        <f t="shared" si="2"/>
        <v>-2834</v>
      </c>
    </row>
    <row r="86" spans="1:28" ht="20.25" customHeight="1" thickBot="1" x14ac:dyDescent="0.35">
      <c r="A86" s="39"/>
      <c r="B86" s="1" t="s">
        <v>16</v>
      </c>
      <c r="C86" s="9"/>
      <c r="D86" s="10"/>
      <c r="E86" s="9"/>
      <c r="F86" s="10"/>
      <c r="G86" s="9"/>
      <c r="H86" s="10">
        <f>60.47+51.1+13.04-413.82</f>
        <v>-289.21000000000004</v>
      </c>
      <c r="I86" s="9"/>
      <c r="J86" s="10"/>
      <c r="K86" s="9"/>
      <c r="L86" s="10">
        <f>26.68+10.01</f>
        <v>36.69</v>
      </c>
      <c r="M86" s="9"/>
      <c r="N86" s="10"/>
      <c r="O86" s="9"/>
      <c r="P86" s="10">
        <f>32.75+28.33</f>
        <v>61.08</v>
      </c>
      <c r="Q86" s="9"/>
      <c r="R86" s="10"/>
      <c r="S86" s="9"/>
      <c r="T86" s="10">
        <f>32.31+39.37</f>
        <v>71.680000000000007</v>
      </c>
      <c r="U86" s="9"/>
      <c r="V86" s="10"/>
      <c r="W86" s="9"/>
      <c r="X86" s="10">
        <f>30.71+34.39</f>
        <v>65.099999999999994</v>
      </c>
      <c r="Y86" s="9"/>
      <c r="Z86" s="10"/>
      <c r="AA86" s="11">
        <f t="shared" si="2"/>
        <v>0</v>
      </c>
      <c r="AB86" s="12">
        <f t="shared" si="2"/>
        <v>-54.660000000000053</v>
      </c>
    </row>
    <row r="87" spans="1:28" ht="20.25" customHeight="1" thickBot="1" x14ac:dyDescent="0.35">
      <c r="A87" s="38" t="s">
        <v>60</v>
      </c>
      <c r="B87" s="2" t="s">
        <v>55</v>
      </c>
      <c r="C87" s="4"/>
      <c r="D87" s="7"/>
      <c r="E87" s="4"/>
      <c r="F87" s="7">
        <v>260</v>
      </c>
      <c r="G87" s="4"/>
      <c r="H87" s="7">
        <v>253</v>
      </c>
      <c r="I87" s="4"/>
      <c r="J87" s="7">
        <v>159</v>
      </c>
      <c r="K87" s="4"/>
      <c r="L87" s="7"/>
      <c r="M87" s="4"/>
      <c r="N87" s="7">
        <v>173</v>
      </c>
      <c r="O87" s="4"/>
      <c r="P87" s="7"/>
      <c r="Q87" s="4"/>
      <c r="R87" s="7">
        <v>0</v>
      </c>
      <c r="S87" s="4"/>
      <c r="T87" s="7"/>
      <c r="U87" s="4"/>
      <c r="V87" s="7">
        <v>290</v>
      </c>
      <c r="W87" s="4"/>
      <c r="X87" s="7"/>
      <c r="Y87" s="4"/>
      <c r="Z87" s="7"/>
      <c r="AA87" s="4">
        <f t="shared" si="2"/>
        <v>0</v>
      </c>
      <c r="AB87" s="7">
        <f t="shared" si="2"/>
        <v>1135</v>
      </c>
    </row>
    <row r="88" spans="1:28" ht="20.25" customHeight="1" thickBot="1" x14ac:dyDescent="0.35">
      <c r="A88" s="39"/>
      <c r="B88" s="1" t="s">
        <v>16</v>
      </c>
      <c r="C88" s="9"/>
      <c r="D88" s="10"/>
      <c r="E88" s="9"/>
      <c r="F88" s="10">
        <v>85.84</v>
      </c>
      <c r="G88" s="9"/>
      <c r="H88" s="10">
        <v>64.760000000000005</v>
      </c>
      <c r="I88" s="9"/>
      <c r="J88" s="10">
        <v>59.33</v>
      </c>
      <c r="K88" s="9"/>
      <c r="L88" s="10"/>
      <c r="M88" s="9"/>
      <c r="N88" s="10">
        <v>61.69</v>
      </c>
      <c r="O88" s="9"/>
      <c r="P88" s="10"/>
      <c r="Q88" s="9"/>
      <c r="R88" s="10">
        <v>32.33</v>
      </c>
      <c r="S88" s="9"/>
      <c r="T88" s="10"/>
      <c r="U88" s="9"/>
      <c r="V88" s="10">
        <v>89.73</v>
      </c>
      <c r="W88" s="9"/>
      <c r="X88" s="10"/>
      <c r="Y88" s="9"/>
      <c r="Z88" s="10"/>
      <c r="AA88" s="11">
        <f t="shared" si="2"/>
        <v>0</v>
      </c>
      <c r="AB88" s="12">
        <f t="shared" si="2"/>
        <v>393.68</v>
      </c>
    </row>
    <row r="89" spans="1:28" ht="20.25" customHeight="1" thickBot="1" x14ac:dyDescent="0.35">
      <c r="A89" s="36" t="s">
        <v>56</v>
      </c>
      <c r="B89" s="2" t="s">
        <v>55</v>
      </c>
      <c r="C89" s="4"/>
      <c r="D89" s="7"/>
      <c r="E89" s="4"/>
      <c r="F89" s="7"/>
      <c r="G89" s="4"/>
      <c r="H89" s="7">
        <v>11104</v>
      </c>
      <c r="I89" s="4"/>
      <c r="J89" s="7">
        <v>282</v>
      </c>
      <c r="K89" s="4"/>
      <c r="L89" s="7"/>
      <c r="M89" s="4"/>
      <c r="N89" s="7">
        <v>295</v>
      </c>
      <c r="O89" s="4"/>
      <c r="P89" s="7"/>
      <c r="Q89" s="4"/>
      <c r="R89" s="7">
        <v>799</v>
      </c>
      <c r="S89" s="4"/>
      <c r="T89" s="7"/>
      <c r="U89" s="4"/>
      <c r="V89" s="7">
        <v>825</v>
      </c>
      <c r="W89" s="4"/>
      <c r="X89" s="7"/>
      <c r="Y89" s="4"/>
      <c r="Z89" s="7">
        <v>2014</v>
      </c>
      <c r="AA89" s="4">
        <f t="shared" si="2"/>
        <v>0</v>
      </c>
      <c r="AB89" s="7">
        <f t="shared" si="2"/>
        <v>15319</v>
      </c>
    </row>
    <row r="90" spans="1:28" ht="20.25" customHeight="1" thickBot="1" x14ac:dyDescent="0.35">
      <c r="A90" s="37"/>
      <c r="B90" s="1" t="s">
        <v>16</v>
      </c>
      <c r="C90" s="9"/>
      <c r="D90" s="10"/>
      <c r="E90" s="9"/>
      <c r="F90" s="10"/>
      <c r="G90" s="9"/>
      <c r="H90" s="10">
        <v>1701.75</v>
      </c>
      <c r="I90" s="9"/>
      <c r="J90" s="10">
        <v>114.33</v>
      </c>
      <c r="K90" s="9"/>
      <c r="L90" s="10"/>
      <c r="M90" s="9"/>
      <c r="N90" s="10">
        <v>123.12</v>
      </c>
      <c r="O90" s="9"/>
      <c r="P90" s="10"/>
      <c r="Q90" s="9"/>
      <c r="R90" s="10">
        <v>223.36</v>
      </c>
      <c r="S90" s="9"/>
      <c r="T90" s="10"/>
      <c r="U90" s="9"/>
      <c r="V90" s="10">
        <v>226.4</v>
      </c>
      <c r="W90" s="9"/>
      <c r="X90" s="10"/>
      <c r="Y90" s="9"/>
      <c r="Z90" s="10">
        <v>421.8</v>
      </c>
      <c r="AA90" s="11">
        <f t="shared" si="2"/>
        <v>0</v>
      </c>
      <c r="AB90" s="12">
        <f t="shared" si="2"/>
        <v>2810.76</v>
      </c>
    </row>
    <row r="91" spans="1:28" ht="20.25" customHeight="1" thickBot="1" x14ac:dyDescent="0.35">
      <c r="A91" s="36" t="s">
        <v>61</v>
      </c>
      <c r="B91" s="2" t="s">
        <v>55</v>
      </c>
      <c r="C91" s="4"/>
      <c r="D91" s="7"/>
      <c r="E91" s="4"/>
      <c r="F91" s="7"/>
      <c r="G91" s="4"/>
      <c r="H91" s="7">
        <v>483</v>
      </c>
      <c r="I91" s="4"/>
      <c r="J91" s="7">
        <v>1683</v>
      </c>
      <c r="K91" s="4"/>
      <c r="L91" s="7"/>
      <c r="M91" s="4"/>
      <c r="N91" s="7">
        <v>1958</v>
      </c>
      <c r="O91" s="4"/>
      <c r="P91" s="7"/>
      <c r="Q91" s="4"/>
      <c r="R91" s="7">
        <v>0</v>
      </c>
      <c r="S91" s="4"/>
      <c r="T91" s="7"/>
      <c r="U91" s="4"/>
      <c r="V91" s="7">
        <v>3321</v>
      </c>
      <c r="W91" s="4"/>
      <c r="X91" s="7"/>
      <c r="Y91" s="4"/>
      <c r="Z91" s="7">
        <v>1844</v>
      </c>
      <c r="AA91" s="4">
        <f t="shared" si="2"/>
        <v>0</v>
      </c>
      <c r="AB91" s="7">
        <f t="shared" si="2"/>
        <v>9289</v>
      </c>
    </row>
    <row r="92" spans="1:28" ht="20.25" customHeight="1" thickBot="1" x14ac:dyDescent="0.35">
      <c r="A92" s="37"/>
      <c r="B92" s="1" t="s">
        <v>16</v>
      </c>
      <c r="C92" s="9"/>
      <c r="D92" s="10"/>
      <c r="E92" s="9"/>
      <c r="F92" s="10"/>
      <c r="G92" s="9"/>
      <c r="H92" s="10">
        <v>131.31</v>
      </c>
      <c r="I92" s="9"/>
      <c r="J92" s="10">
        <v>328.33</v>
      </c>
      <c r="K92" s="9"/>
      <c r="L92" s="10"/>
      <c r="M92" s="9"/>
      <c r="N92" s="10">
        <v>374.44</v>
      </c>
      <c r="O92" s="9"/>
      <c r="P92" s="10"/>
      <c r="Q92" s="9"/>
      <c r="R92" s="10">
        <v>47.41</v>
      </c>
      <c r="S92" s="9"/>
      <c r="T92" s="10"/>
      <c r="U92" s="9"/>
      <c r="V92" s="10">
        <v>615.87</v>
      </c>
      <c r="W92" s="9"/>
      <c r="X92" s="10"/>
      <c r="Y92" s="9"/>
      <c r="Z92" s="10">
        <v>359.88</v>
      </c>
      <c r="AA92" s="11">
        <f t="shared" si="2"/>
        <v>0</v>
      </c>
      <c r="AB92" s="12">
        <f t="shared" si="2"/>
        <v>1857.2399999999998</v>
      </c>
    </row>
    <row r="93" spans="1:28" ht="20.25" customHeight="1" thickBot="1" x14ac:dyDescent="0.35">
      <c r="A93" s="36" t="s">
        <v>62</v>
      </c>
      <c r="B93" s="2" t="s">
        <v>55</v>
      </c>
      <c r="C93" s="4"/>
      <c r="D93" s="7"/>
      <c r="E93" s="4"/>
      <c r="F93" s="7"/>
      <c r="G93" s="4"/>
      <c r="H93" s="7">
        <v>-159</v>
      </c>
      <c r="I93" s="4"/>
      <c r="J93" s="7"/>
      <c r="K93" s="4"/>
      <c r="L93" s="7"/>
      <c r="M93" s="4"/>
      <c r="N93" s="7"/>
      <c r="O93" s="4"/>
      <c r="P93" s="7">
        <v>0</v>
      </c>
      <c r="Q93" s="4"/>
      <c r="R93" s="7"/>
      <c r="S93" s="4"/>
      <c r="T93" s="7">
        <v>0</v>
      </c>
      <c r="U93" s="4"/>
      <c r="V93" s="7"/>
      <c r="W93" s="4"/>
      <c r="X93" s="7">
        <v>0</v>
      </c>
      <c r="Y93" s="4"/>
      <c r="Z93" s="7"/>
      <c r="AA93" s="4">
        <f t="shared" si="2"/>
        <v>0</v>
      </c>
      <c r="AB93" s="7">
        <f t="shared" si="2"/>
        <v>-159</v>
      </c>
    </row>
    <row r="94" spans="1:28" ht="20.25" customHeight="1" thickBot="1" x14ac:dyDescent="0.35">
      <c r="A94" s="37"/>
      <c r="B94" s="1" t="s">
        <v>16</v>
      </c>
      <c r="C94" s="9"/>
      <c r="D94" s="10"/>
      <c r="E94" s="9"/>
      <c r="F94" s="10"/>
      <c r="G94" s="9"/>
      <c r="H94" s="10">
        <v>13.9</v>
      </c>
      <c r="I94" s="9"/>
      <c r="J94" s="10"/>
      <c r="K94" s="9"/>
      <c r="L94" s="10"/>
      <c r="M94" s="9"/>
      <c r="N94" s="10"/>
      <c r="O94" s="9"/>
      <c r="P94" s="10">
        <v>23.42</v>
      </c>
      <c r="Q94" s="9"/>
      <c r="R94" s="10"/>
      <c r="S94" s="9"/>
      <c r="T94" s="10">
        <v>23.74</v>
      </c>
      <c r="U94" s="9"/>
      <c r="V94" s="10"/>
      <c r="W94" s="9"/>
      <c r="X94" s="10">
        <v>25.2</v>
      </c>
      <c r="Y94" s="9"/>
      <c r="Z94" s="10"/>
      <c r="AA94" s="11">
        <f t="shared" si="2"/>
        <v>0</v>
      </c>
      <c r="AB94" s="12">
        <f t="shared" si="2"/>
        <v>86.26</v>
      </c>
    </row>
    <row r="95" spans="1:28" ht="20.25" customHeight="1" thickBot="1" x14ac:dyDescent="0.35">
      <c r="A95" s="36" t="s">
        <v>63</v>
      </c>
      <c r="B95" s="2" t="s">
        <v>55</v>
      </c>
      <c r="C95" s="4">
        <v>0</v>
      </c>
      <c r="D95" s="7"/>
      <c r="E95" s="4">
        <v>0</v>
      </c>
      <c r="F95" s="7"/>
      <c r="G95" s="4">
        <v>0</v>
      </c>
      <c r="H95" s="7"/>
      <c r="I95" s="4"/>
      <c r="J95" s="7"/>
      <c r="K95" s="4"/>
      <c r="L95" s="7"/>
      <c r="M95" s="4">
        <v>0</v>
      </c>
      <c r="N95" s="7"/>
      <c r="O95" s="4">
        <v>0</v>
      </c>
      <c r="P95" s="7"/>
      <c r="Q95" s="4">
        <v>0</v>
      </c>
      <c r="R95" s="7"/>
      <c r="S95" s="4">
        <v>0</v>
      </c>
      <c r="T95" s="7"/>
      <c r="U95" s="4">
        <v>0</v>
      </c>
      <c r="V95" s="7"/>
      <c r="W95" s="4">
        <v>0</v>
      </c>
      <c r="X95" s="7"/>
      <c r="Y95" s="4"/>
      <c r="Z95" s="7">
        <v>714</v>
      </c>
      <c r="AA95" s="4">
        <f t="shared" si="2"/>
        <v>0</v>
      </c>
      <c r="AB95" s="7">
        <f t="shared" si="2"/>
        <v>714</v>
      </c>
    </row>
    <row r="96" spans="1:28" ht="20.25" customHeight="1" thickBot="1" x14ac:dyDescent="0.35">
      <c r="A96" s="37"/>
      <c r="B96" s="1" t="s">
        <v>16</v>
      </c>
      <c r="C96" s="9">
        <v>93.58</v>
      </c>
      <c r="D96" s="10"/>
      <c r="E96" s="9">
        <v>93.58</v>
      </c>
      <c r="F96" s="10"/>
      <c r="G96" s="9">
        <v>15.5</v>
      </c>
      <c r="H96" s="10"/>
      <c r="I96" s="9"/>
      <c r="J96" s="10"/>
      <c r="K96" s="9"/>
      <c r="L96" s="10"/>
      <c r="M96" s="9">
        <v>171.66</v>
      </c>
      <c r="N96" s="10"/>
      <c r="O96" s="9">
        <v>93.19</v>
      </c>
      <c r="P96" s="10"/>
      <c r="Q96" s="9">
        <v>89.7</v>
      </c>
      <c r="R96" s="10"/>
      <c r="S96" s="9">
        <v>15.11</v>
      </c>
      <c r="T96" s="10"/>
      <c r="U96" s="9">
        <v>168.47</v>
      </c>
      <c r="V96" s="10"/>
      <c r="W96" s="9">
        <v>91.79</v>
      </c>
      <c r="X96" s="10"/>
      <c r="Y96" s="9"/>
      <c r="Z96" s="10">
        <v>334.81</v>
      </c>
      <c r="AA96" s="11">
        <f t="shared" si="2"/>
        <v>832.58</v>
      </c>
      <c r="AB96" s="12">
        <f t="shared" si="2"/>
        <v>334.81</v>
      </c>
    </row>
    <row r="97" spans="1:28" ht="20.25" customHeight="1" thickBot="1" x14ac:dyDescent="0.35">
      <c r="A97" s="36" t="s">
        <v>66</v>
      </c>
      <c r="B97" s="2" t="s">
        <v>55</v>
      </c>
      <c r="C97" s="4"/>
      <c r="D97" s="7"/>
      <c r="E97" s="4"/>
      <c r="F97" s="7"/>
      <c r="G97" s="4"/>
      <c r="H97" s="7"/>
      <c r="I97" s="4"/>
      <c r="J97" s="7"/>
      <c r="K97" s="4"/>
      <c r="L97" s="7"/>
      <c r="M97" s="4"/>
      <c r="N97" s="7"/>
      <c r="O97" s="4"/>
      <c r="P97" s="7"/>
      <c r="Q97" s="4"/>
      <c r="R97" s="7"/>
      <c r="S97" s="4">
        <v>0</v>
      </c>
      <c r="T97" s="7"/>
      <c r="U97" s="4"/>
      <c r="V97" s="7"/>
      <c r="W97" s="4">
        <v>1239</v>
      </c>
      <c r="X97" s="7"/>
      <c r="Y97" s="4">
        <v>3784</v>
      </c>
      <c r="Z97" s="7"/>
      <c r="AA97" s="4">
        <f t="shared" ref="AA97:AA106" si="3">C97+E97+G97+I97+K97+M97+O97+Q97+S97+U97+W97+Y97</f>
        <v>5023</v>
      </c>
      <c r="AB97" s="7">
        <f t="shared" ref="AB97:AB106" si="4">D97+F97+H97+J97+L97+N97+P97+R97+T97+V97+X97+Z97</f>
        <v>0</v>
      </c>
    </row>
    <row r="98" spans="1:28" ht="20.25" customHeight="1" thickBot="1" x14ac:dyDescent="0.35">
      <c r="A98" s="37"/>
      <c r="B98" s="1" t="s">
        <v>16</v>
      </c>
      <c r="C98" s="9"/>
      <c r="D98" s="10"/>
      <c r="E98" s="9"/>
      <c r="F98" s="10"/>
      <c r="G98" s="9"/>
      <c r="H98" s="10"/>
      <c r="I98" s="9"/>
      <c r="J98" s="10"/>
      <c r="K98" s="9"/>
      <c r="L98" s="10"/>
      <c r="M98" s="9"/>
      <c r="N98" s="10"/>
      <c r="O98" s="9"/>
      <c r="P98" s="10"/>
      <c r="Q98" s="9"/>
      <c r="R98" s="10"/>
      <c r="S98" s="9">
        <v>473.23</v>
      </c>
      <c r="T98" s="10"/>
      <c r="U98" s="9"/>
      <c r="V98" s="10"/>
      <c r="W98" s="9">
        <v>321.64</v>
      </c>
      <c r="X98" s="10"/>
      <c r="Y98" s="9">
        <v>320.7</v>
      </c>
      <c r="Z98" s="10"/>
      <c r="AA98" s="11">
        <f t="shared" si="3"/>
        <v>1115.57</v>
      </c>
      <c r="AB98" s="12">
        <f t="shared" si="4"/>
        <v>0</v>
      </c>
    </row>
    <row r="99" spans="1:28" ht="20.25" customHeight="1" thickBot="1" x14ac:dyDescent="0.35">
      <c r="A99" s="36" t="s">
        <v>67</v>
      </c>
      <c r="B99" s="2" t="s">
        <v>55</v>
      </c>
      <c r="C99" s="4"/>
      <c r="D99" s="7"/>
      <c r="E99" s="4"/>
      <c r="F99" s="7"/>
      <c r="G99" s="4">
        <v>5217</v>
      </c>
      <c r="H99" s="7">
        <v>1111</v>
      </c>
      <c r="I99" s="4"/>
      <c r="J99" s="7"/>
      <c r="K99" s="4"/>
      <c r="L99" s="7"/>
      <c r="M99" s="4"/>
      <c r="N99" s="7"/>
      <c r="O99" s="4"/>
      <c r="P99" s="7"/>
      <c r="Q99" s="4"/>
      <c r="R99" s="7"/>
      <c r="S99" s="4"/>
      <c r="T99" s="7"/>
      <c r="U99" s="4"/>
      <c r="V99" s="7"/>
      <c r="W99" s="4"/>
      <c r="X99" s="7"/>
      <c r="Y99" s="4"/>
      <c r="Z99" s="7"/>
      <c r="AA99" s="4">
        <f t="shared" si="3"/>
        <v>5217</v>
      </c>
      <c r="AB99" s="7">
        <f t="shared" si="4"/>
        <v>1111</v>
      </c>
    </row>
    <row r="100" spans="1:28" ht="20.25" customHeight="1" thickBot="1" x14ac:dyDescent="0.35">
      <c r="A100" s="37"/>
      <c r="B100" s="1" t="s">
        <v>16</v>
      </c>
      <c r="C100" s="9"/>
      <c r="D100" s="10"/>
      <c r="E100" s="9"/>
      <c r="F100" s="10"/>
      <c r="G100" s="9">
        <v>667.19</v>
      </c>
      <c r="H100" s="10">
        <v>230.79</v>
      </c>
      <c r="I100" s="9"/>
      <c r="J100" s="10"/>
      <c r="K100" s="9"/>
      <c r="L100" s="10"/>
      <c r="M100" s="9"/>
      <c r="N100" s="10"/>
      <c r="O100" s="9"/>
      <c r="P100" s="10"/>
      <c r="Q100" s="9"/>
      <c r="R100" s="10"/>
      <c r="S100" s="9"/>
      <c r="T100" s="10"/>
      <c r="U100" s="9"/>
      <c r="V100" s="10"/>
      <c r="W100" s="9"/>
      <c r="X100" s="10"/>
      <c r="Y100" s="9"/>
      <c r="Z100" s="10"/>
      <c r="AA100" s="11">
        <f t="shared" si="3"/>
        <v>667.19</v>
      </c>
      <c r="AB100" s="12">
        <f t="shared" si="4"/>
        <v>230.79</v>
      </c>
    </row>
    <row r="101" spans="1:28" ht="20.25" customHeight="1" thickBot="1" x14ac:dyDescent="0.35">
      <c r="A101" s="38" t="s">
        <v>75</v>
      </c>
      <c r="B101" s="2" t="s">
        <v>55</v>
      </c>
      <c r="C101" s="4"/>
      <c r="D101" s="7"/>
      <c r="E101" s="4"/>
      <c r="F101" s="7"/>
      <c r="G101" s="4"/>
      <c r="H101" s="7">
        <v>14</v>
      </c>
      <c r="I101" s="4"/>
      <c r="J101" s="7"/>
      <c r="K101" s="4"/>
      <c r="L101" s="7"/>
      <c r="M101" s="4"/>
      <c r="N101" s="7">
        <v>0</v>
      </c>
      <c r="O101" s="4"/>
      <c r="P101" s="7"/>
      <c r="Q101" s="4"/>
      <c r="R101" s="7">
        <v>0</v>
      </c>
      <c r="S101" s="4"/>
      <c r="T101" s="7"/>
      <c r="U101" s="4"/>
      <c r="V101" s="7">
        <v>8</v>
      </c>
      <c r="W101" s="4"/>
      <c r="X101" s="7"/>
      <c r="Y101" s="4"/>
      <c r="Z101" s="7">
        <v>0</v>
      </c>
      <c r="AA101" s="11"/>
      <c r="AB101" s="12"/>
    </row>
    <row r="102" spans="1:28" ht="20.25" customHeight="1" thickBot="1" x14ac:dyDescent="0.35">
      <c r="A102" s="39"/>
      <c r="B102" s="1" t="s">
        <v>16</v>
      </c>
      <c r="C102" s="9"/>
      <c r="D102" s="10"/>
      <c r="E102" s="9"/>
      <c r="F102" s="10"/>
      <c r="G102" s="9"/>
      <c r="H102" s="10">
        <v>22.4</v>
      </c>
      <c r="I102" s="9"/>
      <c r="J102" s="10"/>
      <c r="K102" s="9"/>
      <c r="L102" s="10"/>
      <c r="M102" s="9"/>
      <c r="N102" s="10">
        <v>28.33</v>
      </c>
      <c r="O102" s="9"/>
      <c r="P102" s="10"/>
      <c r="Q102" s="9"/>
      <c r="R102" s="10">
        <v>31.2</v>
      </c>
      <c r="S102" s="9"/>
      <c r="T102" s="10"/>
      <c r="U102" s="9"/>
      <c r="V102" s="10">
        <v>32.03</v>
      </c>
      <c r="W102" s="9"/>
      <c r="X102" s="10"/>
      <c r="Y102" s="9"/>
      <c r="Z102" s="10">
        <v>30.71</v>
      </c>
      <c r="AA102" s="11"/>
      <c r="AB102" s="12"/>
    </row>
    <row r="103" spans="1:28" ht="20.25" customHeight="1" thickBot="1" x14ac:dyDescent="0.35">
      <c r="A103" s="38" t="s">
        <v>76</v>
      </c>
      <c r="B103" s="2" t="s">
        <v>55</v>
      </c>
      <c r="C103" s="4"/>
      <c r="D103" s="7"/>
      <c r="E103" s="4"/>
      <c r="F103" s="7"/>
      <c r="G103" s="4"/>
      <c r="H103" s="7"/>
      <c r="I103" s="4"/>
      <c r="J103" s="7"/>
      <c r="K103" s="4"/>
      <c r="L103" s="7">
        <v>857</v>
      </c>
      <c r="M103" s="4"/>
      <c r="N103" s="7"/>
      <c r="O103" s="4"/>
      <c r="P103" s="7"/>
      <c r="Q103" s="4"/>
      <c r="R103" s="7"/>
      <c r="S103" s="4"/>
      <c r="T103" s="7"/>
      <c r="U103" s="4"/>
      <c r="V103" s="7"/>
      <c r="W103" s="4"/>
      <c r="X103" s="7"/>
      <c r="Y103" s="4"/>
      <c r="Z103" s="7"/>
      <c r="AA103" s="11"/>
      <c r="AB103" s="12"/>
    </row>
    <row r="104" spans="1:28" ht="20.25" customHeight="1" thickBot="1" x14ac:dyDescent="0.35">
      <c r="A104" s="39"/>
      <c r="B104" s="1" t="s">
        <v>16</v>
      </c>
      <c r="C104" s="9"/>
      <c r="D104" s="10"/>
      <c r="E104" s="9"/>
      <c r="F104" s="10"/>
      <c r="G104" s="9"/>
      <c r="H104" s="10"/>
      <c r="I104" s="9"/>
      <c r="J104" s="10"/>
      <c r="K104" s="9"/>
      <c r="L104" s="10">
        <v>172.95</v>
      </c>
      <c r="M104" s="9"/>
      <c r="N104" s="10"/>
      <c r="O104" s="9"/>
      <c r="P104" s="10"/>
      <c r="Q104" s="9"/>
      <c r="R104" s="10"/>
      <c r="S104" s="9"/>
      <c r="T104" s="10"/>
      <c r="U104" s="9"/>
      <c r="V104" s="10"/>
      <c r="W104" s="9"/>
      <c r="X104" s="10"/>
      <c r="Y104" s="9"/>
      <c r="Z104" s="10"/>
      <c r="AA104" s="11"/>
      <c r="AB104" s="12"/>
    </row>
    <row r="105" spans="1:28" ht="20.25" customHeight="1" thickBot="1" x14ac:dyDescent="0.35">
      <c r="A105" s="38" t="s">
        <v>74</v>
      </c>
      <c r="B105" s="2" t="s">
        <v>55</v>
      </c>
      <c r="C105" s="4"/>
      <c r="D105" s="7"/>
      <c r="E105" s="4"/>
      <c r="F105" s="7">
        <v>0</v>
      </c>
      <c r="G105" s="4"/>
      <c r="H105" s="7">
        <v>288</v>
      </c>
      <c r="I105" s="4"/>
      <c r="J105" s="7"/>
      <c r="K105" s="4"/>
      <c r="L105" s="7"/>
      <c r="M105" s="4"/>
      <c r="N105" s="7"/>
      <c r="O105" s="4"/>
      <c r="P105" s="7"/>
      <c r="Q105" s="4"/>
      <c r="R105" s="7"/>
      <c r="S105" s="4"/>
      <c r="T105" s="7"/>
      <c r="U105" s="4"/>
      <c r="V105" s="7"/>
      <c r="W105" s="4"/>
      <c r="X105" s="7"/>
      <c r="Y105" s="4"/>
      <c r="Z105" s="7"/>
      <c r="AA105" s="4">
        <f t="shared" si="3"/>
        <v>0</v>
      </c>
      <c r="AB105" s="7">
        <f t="shared" si="4"/>
        <v>288</v>
      </c>
    </row>
    <row r="106" spans="1:28" ht="20.25" customHeight="1" thickBot="1" x14ac:dyDescent="0.35">
      <c r="A106" s="39"/>
      <c r="B106" s="1" t="s">
        <v>16</v>
      </c>
      <c r="C106" s="9"/>
      <c r="D106" s="10"/>
      <c r="E106" s="9"/>
      <c r="F106" s="10">
        <v>24.02</v>
      </c>
      <c r="G106" s="9"/>
      <c r="H106" s="10">
        <v>75.760000000000005</v>
      </c>
      <c r="I106" s="9"/>
      <c r="J106" s="10"/>
      <c r="K106" s="9"/>
      <c r="L106" s="10"/>
      <c r="M106" s="9"/>
      <c r="N106" s="10"/>
      <c r="O106" s="9"/>
      <c r="P106" s="10"/>
      <c r="Q106" s="9"/>
      <c r="R106" s="10"/>
      <c r="S106" s="9"/>
      <c r="T106" s="10"/>
      <c r="U106" s="9"/>
      <c r="V106" s="10"/>
      <c r="W106" s="9"/>
      <c r="X106" s="10"/>
      <c r="Y106" s="9"/>
      <c r="Z106" s="10"/>
      <c r="AA106" s="11">
        <f t="shared" si="3"/>
        <v>0</v>
      </c>
      <c r="AB106" s="12">
        <f t="shared" si="4"/>
        <v>99.78</v>
      </c>
    </row>
    <row r="107" spans="1:28" ht="15" thickBot="1" x14ac:dyDescent="0.35">
      <c r="A107" s="34" t="s">
        <v>64</v>
      </c>
      <c r="B107" s="13" t="s">
        <v>55</v>
      </c>
      <c r="C107" s="14">
        <f t="shared" ref="C107:F108" si="5">C5+C7+C9+C11+C13+C15+C17+C19+C21+C23+C25+C27+C29+C31+C33+C35+C37+C39+C41+C43+C45+C47+C49+C51+C53+C55+C57+C59+C61+C65+C67+C69+C71+C73+C75+C77+C79+C81+C83+C85+C87+C89+C91+C93+C95+C97+C99+C105</f>
        <v>20551</v>
      </c>
      <c r="D107" s="14">
        <f t="shared" si="5"/>
        <v>3243</v>
      </c>
      <c r="E107" s="14">
        <f t="shared" si="5"/>
        <v>103761</v>
      </c>
      <c r="F107" s="14">
        <f t="shared" si="5"/>
        <v>72470</v>
      </c>
      <c r="G107" s="14">
        <f>G5+G7+G9+G11+G13+G15+G17+G19+G21+G23+G25+G27+G29+G31+G33+G35+G37+G39+G41+G43+G45+G47+G49+G51+G53+G55+G57+G59+G61+G65+G67+G69+G71+G73+G75+G77+G79+G81+G83+G85+G87+G89+G91+G93+G95+G97+G99+G105+G103+G101</f>
        <v>63397</v>
      </c>
      <c r="H107" s="14">
        <f t="shared" ref="H107:Z107" si="6">H5+H7+H9+H11+H13+H15+H17+H19+H21+H23+H25+H27+H29+H31+H33+H35+H37+H39+H41+H43+H45+H47+H49+H51+H53+H55+H57+H59+H61+H65+H67+H69+H71+H73+H75+H77+H79+H81+H83+H85+H87+H89+H91+H93+H95+H97+H99+H105+H103+H101</f>
        <v>79746</v>
      </c>
      <c r="I107" s="14">
        <f t="shared" si="6"/>
        <v>37365</v>
      </c>
      <c r="J107" s="14">
        <f t="shared" si="6"/>
        <v>49571</v>
      </c>
      <c r="K107" s="14">
        <f t="shared" si="6"/>
        <v>129340.36</v>
      </c>
      <c r="L107" s="14">
        <f t="shared" si="6"/>
        <v>21082</v>
      </c>
      <c r="M107" s="14">
        <f t="shared" si="6"/>
        <v>178816</v>
      </c>
      <c r="N107" s="14">
        <f t="shared" si="6"/>
        <v>29448</v>
      </c>
      <c r="O107" s="14">
        <f t="shared" si="6"/>
        <v>13153</v>
      </c>
      <c r="P107" s="14">
        <f t="shared" si="6"/>
        <v>13535</v>
      </c>
      <c r="Q107" s="14">
        <f t="shared" si="6"/>
        <v>-15253</v>
      </c>
      <c r="R107" s="14">
        <f t="shared" si="6"/>
        <v>12414</v>
      </c>
      <c r="S107" s="14">
        <f t="shared" si="6"/>
        <v>2478</v>
      </c>
      <c r="T107" s="14">
        <f t="shared" si="6"/>
        <v>14380</v>
      </c>
      <c r="U107" s="14">
        <f t="shared" si="6"/>
        <v>2146</v>
      </c>
      <c r="V107" s="14">
        <f t="shared" si="6"/>
        <v>29375</v>
      </c>
      <c r="W107" s="14">
        <f t="shared" si="6"/>
        <v>96116</v>
      </c>
      <c r="X107" s="14">
        <f t="shared" si="6"/>
        <v>15716</v>
      </c>
      <c r="Y107" s="14">
        <f t="shared" si="6"/>
        <v>17946</v>
      </c>
      <c r="Z107" s="14">
        <f t="shared" si="6"/>
        <v>40817</v>
      </c>
      <c r="AA107" s="20">
        <f>C107+E107+G107+I107+K107+M107+O107+Q107+S107+U107+W107+Y107</f>
        <v>649816.36</v>
      </c>
      <c r="AB107" s="21">
        <f>D107+F107+H107+J107+L107+N107+P107+R107+T107+V107+X107+Z107</f>
        <v>381797</v>
      </c>
    </row>
    <row r="108" spans="1:28" ht="15" thickBot="1" x14ac:dyDescent="0.35">
      <c r="A108" s="35"/>
      <c r="B108" s="16" t="s">
        <v>16</v>
      </c>
      <c r="C108" s="17">
        <f t="shared" si="5"/>
        <v>1388.8</v>
      </c>
      <c r="D108" s="17">
        <f t="shared" si="5"/>
        <v>1178.9199999999998</v>
      </c>
      <c r="E108" s="17">
        <f t="shared" si="5"/>
        <v>6540.6900000000005</v>
      </c>
      <c r="F108" s="17">
        <f t="shared" si="5"/>
        <v>13994.27</v>
      </c>
      <c r="G108" s="17">
        <f>G6+G8+G10+G12+G14+G16+G18+G20+G22+G24+G26+G28+G30+G32+G34+G36+G38+G40+G42+G44+G46+G48+G50+G52+G54+G56+G58+G60+G62+G66+G68+G70+G72+G74+G76+G78+G80+G82+G84+G86+G88+G90+G92+G94+G96+G98+G100+G106</f>
        <v>3596.82</v>
      </c>
      <c r="H108" s="17">
        <f>H6+H8+H10+H12+H14+H16+H18+H20+H22+H24+H26+H28+H30+H32+H34+H36+H38+H40+H42+H44+H46+H48+H50+H52+H54+H56+H58+H60+H62+H66+H68+H70+H72+H74+H76+H78+H80+H82+H84+H86+H88+H90+H92+H94+H96+H98+H100+H106</f>
        <v>16404.909999999996</v>
      </c>
      <c r="I108" s="17">
        <f>I6+I8+I10+I12+I14+I16+I18+I20+I22+I24+I26+I28+I30+I32+I34+I36+I38+I40+I42+I44+I46+I48+I50+I52+I54+I56+I58+I60+I62+I66+I68+I70+I72+I74+I76+I78+I80+I82+I84+I86+I88+I90+I92+I94+I96+I98+I100+I106</f>
        <v>2017.86</v>
      </c>
      <c r="J108" s="17">
        <f>J6+J8+J10+J12+J14+J16+J18+J20+J22+J24+J26+J28+J30+J32+J34+J36+J38+J40+J42+J44+J46+J48+J50+J52+J54+J56+J58+J60+J62+J66+J68+J70+J72+J74+J76+J78+J80+J82+J84+J86+J88+J90+J92+J94+J96+J98+J100+J106</f>
        <v>10047.84</v>
      </c>
      <c r="K108" s="17">
        <f>K6+K8+K10+K12+K14+K16+K18+K20+K22+K24+K26+K28+K30+K32+K34+K36+K38+K40+K42+K44+K46+K48+K50+K52+K54+K56+K58+K60+K62+K66+K68+K70+K72+K74+K76+K78+K80+K82+K84+K86+K88+K90+K92+K94+K96+K98+K100+K106+K104+K102</f>
        <v>7396.86</v>
      </c>
      <c r="L108" s="17">
        <f t="shared" ref="L108:Z108" si="7">L6+L8+L10+L12+L14+L16+L18+L20+L22+L24+L26+L28+L30+L32+L34+L36+L38+L40+L42+L44+L46+L48+L50+L52+L54+L56+L58+L60+L62+L66+L68+L70+L72+L74+L76+L78+L80+L82+L84+L86+L88+L90+L92+L94+L96+L98+L100+L106+L104+L102</f>
        <v>4724.5199999999995</v>
      </c>
      <c r="M108" s="17">
        <f t="shared" si="7"/>
        <v>8962.81</v>
      </c>
      <c r="N108" s="17">
        <f t="shared" si="7"/>
        <v>6484.2500000000009</v>
      </c>
      <c r="O108" s="17">
        <f t="shared" si="7"/>
        <v>1105.1100000000001</v>
      </c>
      <c r="P108" s="17">
        <f t="shared" si="7"/>
        <v>3391.7499999999995</v>
      </c>
      <c r="Q108" s="17">
        <f t="shared" si="7"/>
        <v>1702.44</v>
      </c>
      <c r="R108" s="17">
        <f t="shared" si="7"/>
        <v>3848.86</v>
      </c>
      <c r="S108" s="17">
        <f t="shared" si="7"/>
        <v>940.62</v>
      </c>
      <c r="T108" s="17">
        <f t="shared" si="7"/>
        <v>3613.4999999999995</v>
      </c>
      <c r="U108" s="17">
        <f t="shared" si="7"/>
        <v>704.13</v>
      </c>
      <c r="V108" s="17">
        <f t="shared" si="7"/>
        <v>6695.9999999999982</v>
      </c>
      <c r="W108" s="17">
        <f t="shared" si="7"/>
        <v>8453.5799999999981</v>
      </c>
      <c r="X108" s="17">
        <f t="shared" si="7"/>
        <v>3849.35</v>
      </c>
      <c r="Y108" s="17">
        <f t="shared" si="7"/>
        <v>2787.5499999999997</v>
      </c>
      <c r="Z108" s="17">
        <f t="shared" si="7"/>
        <v>8572.909999999998</v>
      </c>
      <c r="AA108" s="17">
        <f>Y108+W108+U108+S108+Q108+O108+M108+K108+I108+G108+E108+C108</f>
        <v>45597.270000000004</v>
      </c>
      <c r="AB108" s="19">
        <f>D108+F108+H108+J108+L108+N108+P108+R108+T108+V108+X108+Z108</f>
        <v>82807.08</v>
      </c>
    </row>
  </sheetData>
  <mergeCells count="82">
    <mergeCell ref="AA3:AB3"/>
    <mergeCell ref="A1:AB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E63:F63"/>
    <mergeCell ref="G63:H63"/>
    <mergeCell ref="I63:J63"/>
    <mergeCell ref="A53:A54"/>
    <mergeCell ref="A55:A56"/>
    <mergeCell ref="A57:A58"/>
    <mergeCell ref="A59:A60"/>
    <mergeCell ref="A61:A62"/>
    <mergeCell ref="C63:D63"/>
    <mergeCell ref="A65:A66"/>
    <mergeCell ref="A83:A84"/>
    <mergeCell ref="W63:X63"/>
    <mergeCell ref="Y63:Z63"/>
    <mergeCell ref="AA63:AB63"/>
    <mergeCell ref="A67:A68"/>
    <mergeCell ref="A69:A70"/>
    <mergeCell ref="A71:A72"/>
    <mergeCell ref="K63:L63"/>
    <mergeCell ref="M63:N63"/>
    <mergeCell ref="O63:P63"/>
    <mergeCell ref="Q63:R63"/>
    <mergeCell ref="S63:T63"/>
    <mergeCell ref="U63:V63"/>
    <mergeCell ref="A63:A64"/>
    <mergeCell ref="B63:B64"/>
    <mergeCell ref="A73:A74"/>
    <mergeCell ref="A75:A76"/>
    <mergeCell ref="A77:A78"/>
    <mergeCell ref="A79:A80"/>
    <mergeCell ref="A81:A82"/>
    <mergeCell ref="A107:A108"/>
    <mergeCell ref="A85:A86"/>
    <mergeCell ref="A87:A88"/>
    <mergeCell ref="A89:A90"/>
    <mergeCell ref="A91:A92"/>
    <mergeCell ref="A93:A94"/>
    <mergeCell ref="A95:A96"/>
    <mergeCell ref="A97:A98"/>
    <mergeCell ref="A99:A100"/>
    <mergeCell ref="A105:A106"/>
    <mergeCell ref="A101:A102"/>
    <mergeCell ref="A103:A104"/>
  </mergeCells>
  <pageMargins left="0.25" right="0.25" top="0.75" bottom="0.75" header="0.3" footer="0.3"/>
  <pageSetup paperSize="8" scale="60" fitToHeight="0" orientation="landscape" r:id="rId1"/>
  <headerFooter>
    <oddFooter>&amp;CConsommation électricité et gaz bâtiments communaux 2021</oddFoot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CB56-97CD-4A30-A5A4-32428E242555}">
  <sheetPr>
    <pageSetUpPr fitToPage="1"/>
  </sheetPr>
  <dimension ref="A1:AB98"/>
  <sheetViews>
    <sheetView zoomScaleNormal="100" workbookViewId="0">
      <selection activeCell="A67" sqref="A67:A68"/>
    </sheetView>
  </sheetViews>
  <sheetFormatPr baseColWidth="10" defaultRowHeight="14.4" x14ac:dyDescent="0.3"/>
  <cols>
    <col min="1" max="1" width="22.109375" customWidth="1"/>
    <col min="2" max="2" width="11.33203125" customWidth="1"/>
    <col min="3" max="3" width="10.88671875" customWidth="1"/>
    <col min="4" max="4" width="10.6640625" customWidth="1"/>
    <col min="5" max="5" width="12" customWidth="1"/>
    <col min="6" max="6" width="11.5546875" customWidth="1"/>
    <col min="7" max="7" width="12.33203125" customWidth="1"/>
    <col min="8" max="8" width="11" customWidth="1"/>
    <col min="9" max="9" width="10.5546875" customWidth="1"/>
    <col min="10" max="10" width="12.109375" customWidth="1"/>
    <col min="11" max="11" width="11.6640625" customWidth="1"/>
    <col min="12" max="12" width="10.6640625" customWidth="1"/>
    <col min="13" max="13" width="11.6640625" customWidth="1"/>
    <col min="14" max="14" width="11.33203125" customWidth="1"/>
    <col min="15" max="15" width="9.5546875" customWidth="1"/>
    <col min="16" max="16" width="10.6640625" customWidth="1"/>
    <col min="17" max="17" width="11.88671875" customWidth="1"/>
    <col min="18" max="18" width="12" customWidth="1"/>
    <col min="19" max="19" width="10.6640625" customWidth="1"/>
    <col min="20" max="20" width="10.5546875" customWidth="1"/>
    <col min="21" max="21" width="11.109375" customWidth="1"/>
    <col min="22" max="23" width="9.5546875" customWidth="1"/>
    <col min="24" max="24" width="10.88671875" customWidth="1"/>
    <col min="25" max="25" width="9.5546875" customWidth="1"/>
    <col min="26" max="26" width="10.6640625" customWidth="1"/>
    <col min="27" max="28" width="12.5546875" customWidth="1"/>
  </cols>
  <sheetData>
    <row r="1" spans="1:28" ht="23.4" x14ac:dyDescent="0.4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5" thickBot="1" x14ac:dyDescent="0.35"/>
    <row r="3" spans="1:28" ht="15" thickBot="1" x14ac:dyDescent="0.35">
      <c r="A3" s="44" t="s">
        <v>1</v>
      </c>
      <c r="B3" s="46" t="s">
        <v>17</v>
      </c>
      <c r="C3" s="44" t="s">
        <v>2</v>
      </c>
      <c r="D3" s="48"/>
      <c r="E3" s="44" t="s">
        <v>3</v>
      </c>
      <c r="F3" s="48"/>
      <c r="G3" s="44" t="s">
        <v>4</v>
      </c>
      <c r="H3" s="48"/>
      <c r="I3" s="44" t="s">
        <v>5</v>
      </c>
      <c r="J3" s="48"/>
      <c r="K3" s="44" t="s">
        <v>6</v>
      </c>
      <c r="L3" s="48"/>
      <c r="M3" s="44" t="s">
        <v>7</v>
      </c>
      <c r="N3" s="48"/>
      <c r="O3" s="44" t="s">
        <v>8</v>
      </c>
      <c r="P3" s="48"/>
      <c r="Q3" s="44" t="s">
        <v>9</v>
      </c>
      <c r="R3" s="48"/>
      <c r="S3" s="44" t="s">
        <v>10</v>
      </c>
      <c r="T3" s="48"/>
      <c r="U3" s="44" t="s">
        <v>11</v>
      </c>
      <c r="V3" s="48"/>
      <c r="W3" s="44" t="s">
        <v>12</v>
      </c>
      <c r="X3" s="48"/>
      <c r="Y3" s="50" t="s">
        <v>13</v>
      </c>
      <c r="Z3" s="51"/>
      <c r="AA3" s="55" t="s">
        <v>64</v>
      </c>
      <c r="AB3" s="55"/>
    </row>
    <row r="4" spans="1:28" ht="15" thickBot="1" x14ac:dyDescent="0.35">
      <c r="A4" s="45"/>
      <c r="B4" s="47"/>
      <c r="C4" s="3" t="s">
        <v>14</v>
      </c>
      <c r="D4" s="6" t="s">
        <v>15</v>
      </c>
      <c r="E4" s="3" t="s">
        <v>14</v>
      </c>
      <c r="F4" s="6" t="s">
        <v>15</v>
      </c>
      <c r="G4" s="3" t="s">
        <v>14</v>
      </c>
      <c r="H4" s="6" t="s">
        <v>15</v>
      </c>
      <c r="I4" s="3" t="s">
        <v>14</v>
      </c>
      <c r="J4" s="6" t="s">
        <v>15</v>
      </c>
      <c r="K4" s="3" t="s">
        <v>14</v>
      </c>
      <c r="L4" s="6" t="s">
        <v>15</v>
      </c>
      <c r="M4" s="3" t="s">
        <v>14</v>
      </c>
      <c r="N4" s="6" t="s">
        <v>15</v>
      </c>
      <c r="O4" s="3" t="s">
        <v>14</v>
      </c>
      <c r="P4" s="6" t="s">
        <v>15</v>
      </c>
      <c r="Q4" s="3" t="s">
        <v>14</v>
      </c>
      <c r="R4" s="6" t="s">
        <v>15</v>
      </c>
      <c r="S4" s="3" t="s">
        <v>14</v>
      </c>
      <c r="T4" s="6" t="s">
        <v>15</v>
      </c>
      <c r="U4" s="3" t="s">
        <v>14</v>
      </c>
      <c r="V4" s="6" t="s">
        <v>15</v>
      </c>
      <c r="W4" s="3" t="s">
        <v>14</v>
      </c>
      <c r="X4" s="6" t="s">
        <v>15</v>
      </c>
      <c r="Y4" s="5" t="s">
        <v>14</v>
      </c>
      <c r="Z4" s="8" t="s">
        <v>15</v>
      </c>
      <c r="AA4" s="5" t="s">
        <v>14</v>
      </c>
      <c r="AB4" s="8" t="s">
        <v>15</v>
      </c>
    </row>
    <row r="5" spans="1:28" ht="15" thickBot="1" x14ac:dyDescent="0.35">
      <c r="A5" s="36" t="s">
        <v>59</v>
      </c>
      <c r="B5" s="2" t="s">
        <v>55</v>
      </c>
      <c r="C5" s="4"/>
      <c r="D5" s="7"/>
      <c r="E5" s="4"/>
      <c r="F5" s="7">
        <v>1401</v>
      </c>
      <c r="G5" s="4">
        <v>52275</v>
      </c>
      <c r="H5" s="7"/>
      <c r="I5" s="4"/>
      <c r="J5" s="7">
        <v>973</v>
      </c>
      <c r="K5" s="4"/>
      <c r="L5" s="7"/>
      <c r="M5" s="4">
        <v>29329</v>
      </c>
      <c r="N5" s="7">
        <v>1145</v>
      </c>
      <c r="O5" s="4"/>
      <c r="P5" s="7"/>
      <c r="Q5" s="4"/>
      <c r="R5" s="7">
        <v>1010</v>
      </c>
      <c r="S5" s="4"/>
      <c r="T5" s="7"/>
      <c r="U5" s="4"/>
      <c r="V5" s="7"/>
      <c r="W5" s="4"/>
      <c r="X5" s="7">
        <v>1756</v>
      </c>
      <c r="Y5" s="4"/>
      <c r="Z5" s="7"/>
      <c r="AA5" s="4">
        <f>C5+E5+G5+I5+K5+M5+O5+Q5+S5+U5+W5+Y5</f>
        <v>81604</v>
      </c>
      <c r="AB5" s="7">
        <f>D5+F5+H5+J5+L5+N5+P5+R5+T5+V5+X5+Z5</f>
        <v>6285</v>
      </c>
    </row>
    <row r="6" spans="1:28" ht="15" thickBot="1" x14ac:dyDescent="0.35">
      <c r="A6" s="37"/>
      <c r="B6" s="1" t="s">
        <v>16</v>
      </c>
      <c r="C6" s="9"/>
      <c r="D6" s="10"/>
      <c r="E6" s="9"/>
      <c r="F6" s="10">
        <v>323.08999999999997</v>
      </c>
      <c r="G6" s="9">
        <v>7705.52</v>
      </c>
      <c r="H6" s="10"/>
      <c r="I6" s="9"/>
      <c r="J6" s="10">
        <v>225.5</v>
      </c>
      <c r="K6" s="9"/>
      <c r="L6" s="10"/>
      <c r="M6" s="9">
        <v>4751.96</v>
      </c>
      <c r="N6" s="10">
        <v>255.81</v>
      </c>
      <c r="O6" s="9"/>
      <c r="P6" s="10"/>
      <c r="Q6" s="9"/>
      <c r="R6" s="10">
        <v>235.74</v>
      </c>
      <c r="S6" s="9"/>
      <c r="T6" s="10"/>
      <c r="U6" s="9"/>
      <c r="V6" s="10"/>
      <c r="W6" s="9"/>
      <c r="X6" s="10">
        <v>399.99</v>
      </c>
      <c r="Y6" s="9"/>
      <c r="Z6" s="10"/>
      <c r="AA6" s="11">
        <f t="shared" ref="AA6:AA64" si="0">C6+E6+G6+I6+K6+M6+O6+Q6+S6+U6+W6+Y6</f>
        <v>12457.48</v>
      </c>
      <c r="AB6" s="12">
        <f t="shared" ref="AB6:AB64" si="1">D6+F6+H6+J6+L6+N6+P6+R6+T6+V6+X6+Z6</f>
        <v>1440.1299999999999</v>
      </c>
    </row>
    <row r="7" spans="1:28" ht="15" thickBot="1" x14ac:dyDescent="0.35">
      <c r="A7" s="36" t="s">
        <v>18</v>
      </c>
      <c r="B7" s="2" t="s">
        <v>55</v>
      </c>
      <c r="C7" s="4"/>
      <c r="D7" s="7">
        <v>670</v>
      </c>
      <c r="E7" s="4"/>
      <c r="F7" s="7">
        <v>997</v>
      </c>
      <c r="G7" s="4"/>
      <c r="H7" s="7">
        <v>945</v>
      </c>
      <c r="I7" s="4"/>
      <c r="J7" s="7">
        <v>1095</v>
      </c>
      <c r="K7" s="4"/>
      <c r="L7" s="7">
        <v>1078</v>
      </c>
      <c r="M7" s="4"/>
      <c r="N7" s="7">
        <v>1128</v>
      </c>
      <c r="O7" s="4"/>
      <c r="P7" s="7">
        <v>1076</v>
      </c>
      <c r="Q7" s="4"/>
      <c r="R7" s="7">
        <v>1051</v>
      </c>
      <c r="S7" s="4"/>
      <c r="T7" s="7"/>
      <c r="U7" s="4"/>
      <c r="V7" s="7"/>
      <c r="W7" s="4"/>
      <c r="X7" s="7">
        <v>2159</v>
      </c>
      <c r="Y7" s="4"/>
      <c r="Z7" s="7"/>
      <c r="AA7" s="4">
        <f t="shared" si="0"/>
        <v>0</v>
      </c>
      <c r="AB7" s="7">
        <f t="shared" si="1"/>
        <v>10199</v>
      </c>
    </row>
    <row r="8" spans="1:28" ht="15" thickBot="1" x14ac:dyDescent="0.35">
      <c r="A8" s="37"/>
      <c r="B8" s="1" t="s">
        <v>16</v>
      </c>
      <c r="C8" s="9"/>
      <c r="D8" s="10">
        <v>355.68</v>
      </c>
      <c r="E8" s="9"/>
      <c r="F8" s="10">
        <v>623.64</v>
      </c>
      <c r="G8" s="9"/>
      <c r="H8" s="10">
        <v>551.6</v>
      </c>
      <c r="I8" s="9"/>
      <c r="J8" s="10">
        <v>600.26</v>
      </c>
      <c r="K8" s="9"/>
      <c r="L8" s="10">
        <v>480.43</v>
      </c>
      <c r="M8" s="9"/>
      <c r="N8" s="10">
        <v>305.57</v>
      </c>
      <c r="O8" s="9"/>
      <c r="P8" s="10">
        <v>673.24</v>
      </c>
      <c r="Q8" s="9"/>
      <c r="R8" s="10">
        <v>303.62</v>
      </c>
      <c r="S8" s="9"/>
      <c r="T8" s="10"/>
      <c r="U8" s="9"/>
      <c r="V8" s="10"/>
      <c r="W8" s="9"/>
      <c r="X8" s="10">
        <v>964.57</v>
      </c>
      <c r="Y8" s="9"/>
      <c r="Z8" s="10"/>
      <c r="AA8" s="11">
        <f t="shared" si="0"/>
        <v>0</v>
      </c>
      <c r="AB8" s="12">
        <f t="shared" si="1"/>
        <v>4858.6099999999997</v>
      </c>
    </row>
    <row r="9" spans="1:28" ht="15" thickBot="1" x14ac:dyDescent="0.35">
      <c r="A9" s="36" t="s">
        <v>19</v>
      </c>
      <c r="B9" s="2" t="s">
        <v>55</v>
      </c>
      <c r="C9" s="4"/>
      <c r="D9" s="7">
        <v>790</v>
      </c>
      <c r="E9" s="4">
        <v>22164</v>
      </c>
      <c r="F9" s="7">
        <v>755</v>
      </c>
      <c r="G9" s="4"/>
      <c r="H9" s="7">
        <v>664</v>
      </c>
      <c r="I9" s="4"/>
      <c r="J9" s="7">
        <v>1093</v>
      </c>
      <c r="K9" s="4">
        <v>27693</v>
      </c>
      <c r="L9" s="7">
        <v>623</v>
      </c>
      <c r="M9" s="4"/>
      <c r="N9" s="7">
        <v>510</v>
      </c>
      <c r="O9" s="4"/>
      <c r="P9" s="7">
        <v>511</v>
      </c>
      <c r="Q9" s="4">
        <v>4033</v>
      </c>
      <c r="R9" s="7"/>
      <c r="S9" s="4"/>
      <c r="T9" s="7">
        <v>1554</v>
      </c>
      <c r="U9" s="4"/>
      <c r="V9" s="7"/>
      <c r="W9" s="4"/>
      <c r="X9" s="7">
        <v>1220</v>
      </c>
      <c r="Y9" s="4"/>
      <c r="Z9" s="7">
        <v>731</v>
      </c>
      <c r="AA9" s="4">
        <f t="shared" si="0"/>
        <v>53890</v>
      </c>
      <c r="AB9" s="7">
        <f t="shared" si="1"/>
        <v>8451</v>
      </c>
    </row>
    <row r="10" spans="1:28" ht="15" thickBot="1" x14ac:dyDescent="0.35">
      <c r="A10" s="37"/>
      <c r="B10" s="1" t="s">
        <v>16</v>
      </c>
      <c r="C10" s="9"/>
      <c r="D10" s="10">
        <v>316.89999999999998</v>
      </c>
      <c r="E10" s="9">
        <v>3754.2</v>
      </c>
      <c r="F10" s="10">
        <v>340.12</v>
      </c>
      <c r="G10" s="9"/>
      <c r="H10" s="10">
        <v>259.60000000000002</v>
      </c>
      <c r="I10" s="9"/>
      <c r="J10" s="10">
        <v>340.34</v>
      </c>
      <c r="K10" s="9">
        <v>4672.99</v>
      </c>
      <c r="L10" s="10">
        <v>215.53</v>
      </c>
      <c r="M10" s="9"/>
      <c r="N10" s="10">
        <v>72.97</v>
      </c>
      <c r="O10" s="9"/>
      <c r="P10" s="10">
        <v>338.9</v>
      </c>
      <c r="Q10" s="9">
        <v>1313.23</v>
      </c>
      <c r="R10" s="10"/>
      <c r="S10" s="9"/>
      <c r="T10" s="10">
        <v>321.56</v>
      </c>
      <c r="U10" s="9"/>
      <c r="V10" s="10"/>
      <c r="W10" s="9"/>
      <c r="X10" s="10">
        <v>469.72</v>
      </c>
      <c r="Y10" s="9"/>
      <c r="Z10" s="10">
        <v>287.69</v>
      </c>
      <c r="AA10" s="11">
        <f t="shared" si="0"/>
        <v>9740.4199999999983</v>
      </c>
      <c r="AB10" s="12">
        <f t="shared" si="1"/>
        <v>2963.3300000000004</v>
      </c>
    </row>
    <row r="11" spans="1:28" ht="15" thickBot="1" x14ac:dyDescent="0.35">
      <c r="A11" s="36" t="s">
        <v>20</v>
      </c>
      <c r="B11" s="2" t="s">
        <v>55</v>
      </c>
      <c r="C11" s="4"/>
      <c r="D11" s="7"/>
      <c r="E11" s="4"/>
      <c r="F11" s="7">
        <v>3129</v>
      </c>
      <c r="G11" s="4"/>
      <c r="H11" s="7"/>
      <c r="I11" s="4"/>
      <c r="J11" s="7">
        <v>2712</v>
      </c>
      <c r="K11" s="4"/>
      <c r="L11" s="7"/>
      <c r="M11" s="4"/>
      <c r="N11" s="7">
        <v>1226</v>
      </c>
      <c r="O11" s="4"/>
      <c r="P11" s="7"/>
      <c r="Q11" s="4"/>
      <c r="R11" s="7">
        <v>971</v>
      </c>
      <c r="S11" s="4"/>
      <c r="T11" s="7"/>
      <c r="U11" s="4"/>
      <c r="V11" s="7"/>
      <c r="W11" s="4"/>
      <c r="X11" s="7">
        <v>1131</v>
      </c>
      <c r="Y11" s="4"/>
      <c r="Z11" s="7"/>
      <c r="AA11" s="4">
        <f t="shared" si="0"/>
        <v>0</v>
      </c>
      <c r="AB11" s="7">
        <f t="shared" si="1"/>
        <v>9169</v>
      </c>
    </row>
    <row r="12" spans="1:28" ht="15" thickBot="1" x14ac:dyDescent="0.35">
      <c r="A12" s="37"/>
      <c r="B12" s="1" t="s">
        <v>16</v>
      </c>
      <c r="C12" s="9"/>
      <c r="D12" s="10"/>
      <c r="E12" s="9"/>
      <c r="F12" s="10">
        <v>666.78</v>
      </c>
      <c r="G12" s="9"/>
      <c r="H12" s="10"/>
      <c r="I12" s="9"/>
      <c r="J12" s="10">
        <v>551.95000000000005</v>
      </c>
      <c r="K12" s="9"/>
      <c r="L12" s="10"/>
      <c r="M12" s="9"/>
      <c r="N12" s="10">
        <v>290.08</v>
      </c>
      <c r="O12" s="9"/>
      <c r="P12" s="10"/>
      <c r="Q12" s="9"/>
      <c r="R12" s="10">
        <v>245.85</v>
      </c>
      <c r="S12" s="9"/>
      <c r="T12" s="10"/>
      <c r="U12" s="9"/>
      <c r="V12" s="10"/>
      <c r="W12" s="9"/>
      <c r="X12" s="10">
        <v>305.88</v>
      </c>
      <c r="Y12" s="9"/>
      <c r="Z12" s="10"/>
      <c r="AA12" s="11">
        <f t="shared" si="0"/>
        <v>0</v>
      </c>
      <c r="AB12" s="12">
        <f t="shared" si="1"/>
        <v>2060.54</v>
      </c>
    </row>
    <row r="13" spans="1:28" ht="15" thickBot="1" x14ac:dyDescent="0.35">
      <c r="A13" s="38" t="s">
        <v>21</v>
      </c>
      <c r="B13" s="2" t="s">
        <v>55</v>
      </c>
      <c r="C13" s="4"/>
      <c r="D13" s="7"/>
      <c r="E13" s="4"/>
      <c r="F13" s="7">
        <v>8119</v>
      </c>
      <c r="G13" s="4"/>
      <c r="H13" s="7"/>
      <c r="I13" s="4"/>
      <c r="J13" s="7">
        <v>7705</v>
      </c>
      <c r="K13" s="4"/>
      <c r="L13" s="7"/>
      <c r="M13" s="4"/>
      <c r="N13" s="7">
        <v>3122</v>
      </c>
      <c r="O13" s="4"/>
      <c r="P13" s="7"/>
      <c r="Q13" s="4"/>
      <c r="R13" s="7">
        <v>1196</v>
      </c>
      <c r="S13" s="4"/>
      <c r="T13" s="7"/>
      <c r="U13" s="4"/>
      <c r="V13" s="7"/>
      <c r="W13" s="4"/>
      <c r="X13" s="7">
        <v>1511</v>
      </c>
      <c r="Y13" s="4"/>
      <c r="Z13" s="7"/>
      <c r="AA13" s="4">
        <f t="shared" si="0"/>
        <v>0</v>
      </c>
      <c r="AB13" s="7">
        <f t="shared" si="1"/>
        <v>21653</v>
      </c>
    </row>
    <row r="14" spans="1:28" ht="15" thickBot="1" x14ac:dyDescent="0.35">
      <c r="A14" s="54"/>
      <c r="B14" s="1" t="s">
        <v>16</v>
      </c>
      <c r="C14" s="9"/>
      <c r="D14" s="10"/>
      <c r="E14" s="9"/>
      <c r="F14" s="10">
        <v>1613.5</v>
      </c>
      <c r="G14" s="9"/>
      <c r="H14" s="10"/>
      <c r="I14" s="9"/>
      <c r="J14" s="10">
        <v>1431.74</v>
      </c>
      <c r="K14" s="9"/>
      <c r="L14" s="10"/>
      <c r="M14" s="9"/>
      <c r="N14" s="10">
        <v>624.17999999999995</v>
      </c>
      <c r="O14" s="9"/>
      <c r="P14" s="10"/>
      <c r="Q14" s="9"/>
      <c r="R14" s="10">
        <v>285.60000000000002</v>
      </c>
      <c r="S14" s="9"/>
      <c r="T14" s="10"/>
      <c r="U14" s="9"/>
      <c r="V14" s="10"/>
      <c r="W14" s="9"/>
      <c r="X14" s="10">
        <v>377.21</v>
      </c>
      <c r="Y14" s="9"/>
      <c r="Z14" s="10"/>
      <c r="AA14" s="11">
        <f t="shared" si="0"/>
        <v>0</v>
      </c>
      <c r="AB14" s="12">
        <f t="shared" si="1"/>
        <v>4332.2299999999996</v>
      </c>
    </row>
    <row r="15" spans="1:28" ht="15" thickBot="1" x14ac:dyDescent="0.35">
      <c r="A15" s="36" t="s">
        <v>22</v>
      </c>
      <c r="B15" s="2" t="s">
        <v>55</v>
      </c>
      <c r="C15" s="4"/>
      <c r="D15" s="7"/>
      <c r="E15" s="4">
        <v>73512</v>
      </c>
      <c r="F15" s="7"/>
      <c r="G15" s="4"/>
      <c r="H15" s="7"/>
      <c r="I15" s="4"/>
      <c r="J15" s="7">
        <f>0+4468</f>
        <v>4468</v>
      </c>
      <c r="K15" s="4">
        <v>39353</v>
      </c>
      <c r="L15" s="7"/>
      <c r="M15" s="4"/>
      <c r="N15" s="7">
        <v>2064</v>
      </c>
      <c r="O15" s="4"/>
      <c r="P15" s="7"/>
      <c r="Q15" s="4">
        <f>21914</f>
        <v>21914</v>
      </c>
      <c r="R15" s="7">
        <v>2819</v>
      </c>
      <c r="S15" s="4"/>
      <c r="T15" s="7"/>
      <c r="U15" s="4"/>
      <c r="V15" s="7"/>
      <c r="W15" s="4"/>
      <c r="X15" s="7">
        <v>2774</v>
      </c>
      <c r="Y15" s="4"/>
      <c r="Z15" s="7"/>
      <c r="AA15" s="4">
        <f t="shared" si="0"/>
        <v>134779</v>
      </c>
      <c r="AB15" s="7">
        <f t="shared" si="1"/>
        <v>12125</v>
      </c>
    </row>
    <row r="16" spans="1:28" ht="15" thickBot="1" x14ac:dyDescent="0.35">
      <c r="A16" s="37"/>
      <c r="B16" s="1" t="s">
        <v>16</v>
      </c>
      <c r="C16" s="9"/>
      <c r="D16" s="10"/>
      <c r="E16" s="9">
        <v>11320.7</v>
      </c>
      <c r="F16" s="10">
        <v>77.33</v>
      </c>
      <c r="G16" s="9"/>
      <c r="H16" s="10"/>
      <c r="I16" s="9"/>
      <c r="J16" s="10">
        <f>298.44+906.86</f>
        <v>1205.3</v>
      </c>
      <c r="K16" s="9">
        <v>7038.52</v>
      </c>
      <c r="L16" s="10"/>
      <c r="M16" s="9"/>
      <c r="N16" s="10">
        <v>449.06</v>
      </c>
      <c r="O16" s="9"/>
      <c r="P16" s="10"/>
      <c r="Q16" s="9">
        <f>3978.72</f>
        <v>3978.72</v>
      </c>
      <c r="R16" s="10">
        <v>583.70000000000005</v>
      </c>
      <c r="S16" s="9"/>
      <c r="T16" s="10"/>
      <c r="U16" s="9"/>
      <c r="V16" s="10"/>
      <c r="W16" s="9"/>
      <c r="X16" s="10">
        <v>610.91999999999996</v>
      </c>
      <c r="Y16" s="9"/>
      <c r="Z16" s="10"/>
      <c r="AA16" s="11">
        <f t="shared" si="0"/>
        <v>22337.940000000002</v>
      </c>
      <c r="AB16" s="12">
        <f t="shared" si="1"/>
        <v>2926.31</v>
      </c>
    </row>
    <row r="17" spans="1:28" ht="15" thickBot="1" x14ac:dyDescent="0.35">
      <c r="A17" s="36" t="s">
        <v>23</v>
      </c>
      <c r="B17" s="2" t="s">
        <v>55</v>
      </c>
      <c r="C17" s="4"/>
      <c r="D17" s="7">
        <v>10305</v>
      </c>
      <c r="E17" s="4"/>
      <c r="F17" s="7"/>
      <c r="G17" s="4"/>
      <c r="H17" s="7">
        <v>9058</v>
      </c>
      <c r="I17" s="4"/>
      <c r="J17" s="7"/>
      <c r="K17" s="4"/>
      <c r="L17" s="7">
        <v>8287</v>
      </c>
      <c r="M17" s="4"/>
      <c r="N17" s="7"/>
      <c r="O17" s="4"/>
      <c r="P17" s="7">
        <v>9748</v>
      </c>
      <c r="Q17" s="4"/>
      <c r="R17" s="7"/>
      <c r="S17" s="4"/>
      <c r="T17" s="7">
        <v>10226</v>
      </c>
      <c r="U17" s="4"/>
      <c r="V17" s="7"/>
      <c r="W17" s="4"/>
      <c r="X17" s="7">
        <v>9376</v>
      </c>
      <c r="Y17" s="4"/>
      <c r="Z17" s="7"/>
      <c r="AA17" s="4">
        <f t="shared" si="0"/>
        <v>0</v>
      </c>
      <c r="AB17" s="7">
        <f t="shared" si="1"/>
        <v>57000</v>
      </c>
    </row>
    <row r="18" spans="1:28" ht="15" thickBot="1" x14ac:dyDescent="0.35">
      <c r="A18" s="37"/>
      <c r="B18" s="1" t="s">
        <v>16</v>
      </c>
      <c r="C18" s="9"/>
      <c r="D18" s="10">
        <v>1832.09</v>
      </c>
      <c r="E18" s="9"/>
      <c r="F18" s="10"/>
      <c r="G18" s="9"/>
      <c r="H18" s="10">
        <v>1803.35</v>
      </c>
      <c r="I18" s="9"/>
      <c r="J18" s="10"/>
      <c r="K18" s="9"/>
      <c r="L18" s="10">
        <v>1545.62</v>
      </c>
      <c r="M18" s="9"/>
      <c r="N18" s="10"/>
      <c r="O18" s="9"/>
      <c r="P18" s="10">
        <v>1803.06</v>
      </c>
      <c r="Q18" s="9"/>
      <c r="R18" s="10"/>
      <c r="S18" s="9"/>
      <c r="T18" s="10">
        <v>1883.88</v>
      </c>
      <c r="U18" s="9"/>
      <c r="V18" s="10"/>
      <c r="W18" s="9"/>
      <c r="X18" s="10">
        <v>1730.33</v>
      </c>
      <c r="Y18" s="9"/>
      <c r="Z18" s="10"/>
      <c r="AA18" s="11">
        <f t="shared" si="0"/>
        <v>0</v>
      </c>
      <c r="AB18" s="12">
        <f t="shared" si="1"/>
        <v>10598.33</v>
      </c>
    </row>
    <row r="19" spans="1:28" ht="15" thickBot="1" x14ac:dyDescent="0.35">
      <c r="A19" s="36" t="s">
        <v>24</v>
      </c>
      <c r="B19" s="2" t="s">
        <v>55</v>
      </c>
      <c r="C19" s="4">
        <v>9168</v>
      </c>
      <c r="D19" s="7">
        <v>0</v>
      </c>
      <c r="E19" s="4"/>
      <c r="F19" s="7"/>
      <c r="G19" s="4"/>
      <c r="H19" s="7"/>
      <c r="I19" s="4">
        <v>14026</v>
      </c>
      <c r="J19" s="7"/>
      <c r="K19" s="4"/>
      <c r="L19" s="7"/>
      <c r="M19" s="4"/>
      <c r="N19" s="7"/>
      <c r="O19" s="4">
        <v>2444</v>
      </c>
      <c r="P19" s="7"/>
      <c r="Q19" s="4"/>
      <c r="R19" s="7"/>
      <c r="S19" s="4"/>
      <c r="T19" s="7">
        <v>15</v>
      </c>
      <c r="U19" s="4">
        <v>962</v>
      </c>
      <c r="V19" s="7"/>
      <c r="W19" s="4"/>
      <c r="X19" s="7"/>
      <c r="Y19" s="4"/>
      <c r="Z19" s="7"/>
      <c r="AA19" s="4">
        <f t="shared" si="0"/>
        <v>26600</v>
      </c>
      <c r="AB19" s="7">
        <f t="shared" si="1"/>
        <v>15</v>
      </c>
    </row>
    <row r="20" spans="1:28" ht="15" thickBot="1" x14ac:dyDescent="0.35">
      <c r="A20" s="37"/>
      <c r="B20" s="1" t="s">
        <v>16</v>
      </c>
      <c r="C20" s="9">
        <v>1368.64</v>
      </c>
      <c r="D20" s="10">
        <v>31.52</v>
      </c>
      <c r="E20" s="9"/>
      <c r="F20" s="10"/>
      <c r="G20" s="9"/>
      <c r="H20" s="10"/>
      <c r="I20" s="9">
        <v>2235.08</v>
      </c>
      <c r="J20" s="10"/>
      <c r="K20" s="9"/>
      <c r="L20" s="10"/>
      <c r="M20" s="9"/>
      <c r="N20" s="10"/>
      <c r="O20" s="9">
        <v>644.95000000000005</v>
      </c>
      <c r="P20" s="10"/>
      <c r="Q20" s="9"/>
      <c r="R20" s="10"/>
      <c r="S20" s="9"/>
      <c r="T20" s="10">
        <v>40.43</v>
      </c>
      <c r="U20" s="9">
        <v>433.39</v>
      </c>
      <c r="V20" s="10"/>
      <c r="W20" s="9"/>
      <c r="X20" s="10"/>
      <c r="Y20" s="9"/>
      <c r="Z20" s="10"/>
      <c r="AA20" s="11">
        <f t="shared" si="0"/>
        <v>4682.0600000000004</v>
      </c>
      <c r="AB20" s="12">
        <f t="shared" si="1"/>
        <v>71.95</v>
      </c>
    </row>
    <row r="21" spans="1:28" ht="15" thickBot="1" x14ac:dyDescent="0.35">
      <c r="A21" s="36" t="s">
        <v>25</v>
      </c>
      <c r="B21" s="2" t="s">
        <v>55</v>
      </c>
      <c r="C21" s="4"/>
      <c r="D21" s="7">
        <v>2</v>
      </c>
      <c r="E21" s="4"/>
      <c r="F21" s="7"/>
      <c r="G21" s="4"/>
      <c r="H21" s="7">
        <v>234</v>
      </c>
      <c r="I21" s="4"/>
      <c r="J21" s="7"/>
      <c r="K21" s="4"/>
      <c r="L21" s="7">
        <v>864</v>
      </c>
      <c r="M21" s="4"/>
      <c r="N21" s="7">
        <v>1193</v>
      </c>
      <c r="O21" s="4"/>
      <c r="P21" s="7">
        <v>62</v>
      </c>
      <c r="Q21" s="4"/>
      <c r="R21" s="7">
        <v>173</v>
      </c>
      <c r="S21" s="4"/>
      <c r="T21" s="7"/>
      <c r="U21" s="4"/>
      <c r="V21" s="7"/>
      <c r="W21" s="4"/>
      <c r="X21" s="7">
        <f>15</f>
        <v>15</v>
      </c>
      <c r="Y21" s="4"/>
      <c r="Z21" s="7"/>
      <c r="AA21" s="4">
        <f t="shared" si="0"/>
        <v>0</v>
      </c>
      <c r="AB21" s="7">
        <f t="shared" si="1"/>
        <v>2543</v>
      </c>
    </row>
    <row r="22" spans="1:28" ht="15" thickBot="1" x14ac:dyDescent="0.35">
      <c r="A22" s="37"/>
      <c r="B22" s="1" t="s">
        <v>16</v>
      </c>
      <c r="C22" s="9"/>
      <c r="D22" s="10">
        <v>38.11</v>
      </c>
      <c r="E22" s="9"/>
      <c r="F22" s="10"/>
      <c r="G22" s="9"/>
      <c r="H22" s="10">
        <v>78.88</v>
      </c>
      <c r="I22" s="9"/>
      <c r="J22" s="10"/>
      <c r="K22" s="9"/>
      <c r="L22" s="10">
        <v>189.98</v>
      </c>
      <c r="M22" s="9"/>
      <c r="N22" s="10">
        <v>247.94</v>
      </c>
      <c r="O22" s="9"/>
      <c r="P22" s="10">
        <v>48.64</v>
      </c>
      <c r="Q22" s="9"/>
      <c r="R22" s="10">
        <v>68.27</v>
      </c>
      <c r="S22" s="9"/>
      <c r="T22" s="10"/>
      <c r="U22" s="9"/>
      <c r="V22" s="10"/>
      <c r="W22" s="9"/>
      <c r="X22" s="10">
        <f>40.45</f>
        <v>40.450000000000003</v>
      </c>
      <c r="Y22" s="9"/>
      <c r="Z22" s="10"/>
      <c r="AA22" s="11">
        <f t="shared" si="0"/>
        <v>0</v>
      </c>
      <c r="AB22" s="12">
        <f t="shared" si="1"/>
        <v>712.27</v>
      </c>
    </row>
    <row r="23" spans="1:28" ht="15" thickBot="1" x14ac:dyDescent="0.35">
      <c r="A23" s="36" t="s">
        <v>26</v>
      </c>
      <c r="B23" s="2" t="s">
        <v>55</v>
      </c>
      <c r="C23" s="4"/>
      <c r="D23" s="7">
        <v>3</v>
      </c>
      <c r="E23" s="4"/>
      <c r="F23" s="7"/>
      <c r="G23" s="4"/>
      <c r="H23" s="7">
        <v>1</v>
      </c>
      <c r="I23" s="4"/>
      <c r="J23" s="7"/>
      <c r="K23" s="4"/>
      <c r="L23" s="7">
        <v>106</v>
      </c>
      <c r="M23" s="4"/>
      <c r="N23" s="7"/>
      <c r="O23" s="4"/>
      <c r="P23" s="7">
        <v>31</v>
      </c>
      <c r="Q23" s="4"/>
      <c r="R23" s="7"/>
      <c r="S23" s="4"/>
      <c r="T23" s="7">
        <v>1</v>
      </c>
      <c r="U23" s="4"/>
      <c r="V23" s="7"/>
      <c r="W23" s="4"/>
      <c r="X23" s="7">
        <v>7</v>
      </c>
      <c r="Y23" s="4"/>
      <c r="Z23" s="7"/>
      <c r="AA23" s="4">
        <f t="shared" si="0"/>
        <v>0</v>
      </c>
      <c r="AB23" s="7">
        <f t="shared" si="1"/>
        <v>149</v>
      </c>
    </row>
    <row r="24" spans="1:28" ht="15" thickBot="1" x14ac:dyDescent="0.35">
      <c r="A24" s="37"/>
      <c r="B24" s="1" t="s">
        <v>16</v>
      </c>
      <c r="C24" s="9"/>
      <c r="D24" s="10">
        <v>61.82</v>
      </c>
      <c r="E24" s="9"/>
      <c r="F24" s="10"/>
      <c r="G24" s="9"/>
      <c r="H24" s="10">
        <v>61.19</v>
      </c>
      <c r="I24" s="9"/>
      <c r="J24" s="10"/>
      <c r="K24" s="9"/>
      <c r="L24" s="10">
        <v>79.88</v>
      </c>
      <c r="M24" s="9"/>
      <c r="N24" s="10"/>
      <c r="O24" s="9"/>
      <c r="P24" s="10">
        <v>66.67</v>
      </c>
      <c r="Q24" s="9"/>
      <c r="R24" s="10"/>
      <c r="S24" s="9"/>
      <c r="T24" s="10">
        <v>61.69</v>
      </c>
      <c r="U24" s="9"/>
      <c r="V24" s="10"/>
      <c r="W24" s="9"/>
      <c r="X24" s="10">
        <v>62.75</v>
      </c>
      <c r="Y24" s="9"/>
      <c r="Z24" s="10"/>
      <c r="AA24" s="11">
        <f t="shared" si="0"/>
        <v>0</v>
      </c>
      <c r="AB24" s="12">
        <f t="shared" si="1"/>
        <v>394</v>
      </c>
    </row>
    <row r="25" spans="1:28" ht="15" thickBot="1" x14ac:dyDescent="0.35">
      <c r="A25" s="36" t="s">
        <v>27</v>
      </c>
      <c r="B25" s="2" t="s">
        <v>55</v>
      </c>
      <c r="C25" s="4">
        <v>6224</v>
      </c>
      <c r="D25" s="7">
        <v>414</v>
      </c>
      <c r="E25" s="4"/>
      <c r="F25" s="7"/>
      <c r="G25" s="4"/>
      <c r="H25" s="7">
        <v>256</v>
      </c>
      <c r="I25" s="4">
        <f>9749</f>
        <v>9749</v>
      </c>
      <c r="J25" s="7"/>
      <c r="K25" s="4"/>
      <c r="L25" s="7">
        <v>363</v>
      </c>
      <c r="M25" s="4">
        <v>7205</v>
      </c>
      <c r="N25" s="7"/>
      <c r="O25" s="4"/>
      <c r="P25" s="7">
        <v>318</v>
      </c>
      <c r="Q25" s="4"/>
      <c r="R25" s="7"/>
      <c r="S25" s="4"/>
      <c r="T25" s="7">
        <v>256</v>
      </c>
      <c r="U25" s="4"/>
      <c r="V25" s="7"/>
      <c r="W25" s="4"/>
      <c r="X25" s="7">
        <v>278</v>
      </c>
      <c r="Y25" s="4"/>
      <c r="Z25" s="7"/>
      <c r="AA25" s="4">
        <f t="shared" si="0"/>
        <v>23178</v>
      </c>
      <c r="AB25" s="7">
        <f t="shared" si="1"/>
        <v>1885</v>
      </c>
    </row>
    <row r="26" spans="1:28" ht="15" thickBot="1" x14ac:dyDescent="0.35">
      <c r="A26" s="37"/>
      <c r="B26" s="1" t="s">
        <v>16</v>
      </c>
      <c r="C26" s="9">
        <v>980.16</v>
      </c>
      <c r="D26" s="10">
        <v>130.76</v>
      </c>
      <c r="E26" s="9"/>
      <c r="F26" s="10"/>
      <c r="G26" s="9"/>
      <c r="H26" s="10">
        <v>109.55</v>
      </c>
      <c r="I26" s="9">
        <f>49.32+1483.91</f>
        <v>1533.23</v>
      </c>
      <c r="J26" s="10"/>
      <c r="K26" s="9"/>
      <c r="L26" s="10">
        <v>125.17</v>
      </c>
      <c r="M26" s="9">
        <v>1274.31</v>
      </c>
      <c r="N26" s="10"/>
      <c r="O26" s="9"/>
      <c r="P26" s="10">
        <v>117.23</v>
      </c>
      <c r="Q26" s="9"/>
      <c r="R26" s="10"/>
      <c r="S26" s="9"/>
      <c r="T26" s="10">
        <v>106.46</v>
      </c>
      <c r="U26" s="9"/>
      <c r="V26" s="10"/>
      <c r="W26" s="9"/>
      <c r="X26" s="10">
        <v>110.26</v>
      </c>
      <c r="Y26" s="9"/>
      <c r="Z26" s="10"/>
      <c r="AA26" s="11">
        <f t="shared" si="0"/>
        <v>3787.7</v>
      </c>
      <c r="AB26" s="12">
        <f t="shared" si="1"/>
        <v>699.43000000000006</v>
      </c>
    </row>
    <row r="27" spans="1:28" ht="15" thickBot="1" x14ac:dyDescent="0.35">
      <c r="A27" s="36" t="s">
        <v>28</v>
      </c>
      <c r="B27" s="2" t="s">
        <v>55</v>
      </c>
      <c r="C27" s="4"/>
      <c r="D27" s="7">
        <v>5353</v>
      </c>
      <c r="E27" s="4"/>
      <c r="F27" s="7"/>
      <c r="G27" s="4"/>
      <c r="H27" s="7">
        <v>3690</v>
      </c>
      <c r="I27" s="4"/>
      <c r="J27" s="7"/>
      <c r="K27" s="4"/>
      <c r="L27" s="7">
        <v>2553</v>
      </c>
      <c r="M27" s="4"/>
      <c r="N27" s="7"/>
      <c r="O27" s="4"/>
      <c r="P27" s="7">
        <v>1307</v>
      </c>
      <c r="Q27" s="4"/>
      <c r="R27" s="7"/>
      <c r="S27" s="4"/>
      <c r="T27" s="7">
        <v>1250</v>
      </c>
      <c r="U27" s="4"/>
      <c r="V27" s="7"/>
      <c r="W27" s="4"/>
      <c r="X27" s="7">
        <v>1269</v>
      </c>
      <c r="Y27" s="4"/>
      <c r="Z27" s="7"/>
      <c r="AA27" s="4">
        <f t="shared" si="0"/>
        <v>0</v>
      </c>
      <c r="AB27" s="7">
        <f t="shared" si="1"/>
        <v>15422</v>
      </c>
    </row>
    <row r="28" spans="1:28" ht="15" thickBot="1" x14ac:dyDescent="0.35">
      <c r="A28" s="37"/>
      <c r="B28" s="1" t="s">
        <v>16</v>
      </c>
      <c r="C28" s="9"/>
      <c r="D28" s="10">
        <v>983.04</v>
      </c>
      <c r="E28" s="9"/>
      <c r="F28" s="10"/>
      <c r="G28" s="9"/>
      <c r="H28" s="10">
        <v>772.45</v>
      </c>
      <c r="I28" s="9"/>
      <c r="J28" s="10"/>
      <c r="K28" s="9"/>
      <c r="L28" s="10">
        <v>523.92999999999995</v>
      </c>
      <c r="M28" s="9"/>
      <c r="N28" s="10"/>
      <c r="O28" s="9"/>
      <c r="P28" s="10">
        <v>304.36</v>
      </c>
      <c r="Q28" s="9"/>
      <c r="R28" s="10"/>
      <c r="S28" s="9"/>
      <c r="T28" s="10">
        <v>294.8</v>
      </c>
      <c r="U28" s="9"/>
      <c r="V28" s="10"/>
      <c r="W28" s="9"/>
      <c r="X28" s="10">
        <v>297.38</v>
      </c>
      <c r="Y28" s="9"/>
      <c r="Z28" s="10"/>
      <c r="AA28" s="11">
        <f t="shared" si="0"/>
        <v>0</v>
      </c>
      <c r="AB28" s="12">
        <f t="shared" si="1"/>
        <v>3175.9600000000005</v>
      </c>
    </row>
    <row r="29" spans="1:28" ht="15" thickBot="1" x14ac:dyDescent="0.35">
      <c r="A29" s="36" t="s">
        <v>29</v>
      </c>
      <c r="B29" s="2" t="s">
        <v>55</v>
      </c>
      <c r="C29" s="4"/>
      <c r="D29" s="7">
        <v>1693</v>
      </c>
      <c r="E29" s="4">
        <v>2039</v>
      </c>
      <c r="F29" s="7"/>
      <c r="G29" s="4"/>
      <c r="H29" s="7">
        <v>2964</v>
      </c>
      <c r="I29" s="4"/>
      <c r="J29" s="7"/>
      <c r="K29" s="4">
        <v>3575</v>
      </c>
      <c r="L29" s="7">
        <v>1047</v>
      </c>
      <c r="M29" s="4"/>
      <c r="N29" s="7"/>
      <c r="O29" s="4"/>
      <c r="P29" s="7"/>
      <c r="Q29" s="4">
        <v>1874</v>
      </c>
      <c r="R29" s="7"/>
      <c r="S29" s="4"/>
      <c r="T29" s="7">
        <v>272</v>
      </c>
      <c r="U29" s="4"/>
      <c r="V29" s="7"/>
      <c r="W29" s="4"/>
      <c r="X29" s="7">
        <v>1366</v>
      </c>
      <c r="Y29" s="4"/>
      <c r="Z29" s="7"/>
      <c r="AA29" s="4">
        <f t="shared" si="0"/>
        <v>7488</v>
      </c>
      <c r="AB29" s="7">
        <f t="shared" si="1"/>
        <v>7342</v>
      </c>
    </row>
    <row r="30" spans="1:28" ht="15" thickBot="1" x14ac:dyDescent="0.35">
      <c r="A30" s="37"/>
      <c r="B30" s="1" t="s">
        <v>16</v>
      </c>
      <c r="C30" s="9"/>
      <c r="D30" s="10">
        <v>364.29</v>
      </c>
      <c r="E30" s="9">
        <v>374.8</v>
      </c>
      <c r="F30" s="10"/>
      <c r="G30" s="9"/>
      <c r="H30" s="10">
        <v>625.59</v>
      </c>
      <c r="I30" s="9"/>
      <c r="J30" s="10"/>
      <c r="K30" s="9">
        <v>619.35</v>
      </c>
      <c r="L30" s="10">
        <v>258.55</v>
      </c>
      <c r="M30" s="9"/>
      <c r="N30" s="10"/>
      <c r="O30" s="9"/>
      <c r="P30" s="10"/>
      <c r="Q30" s="9">
        <v>356.83</v>
      </c>
      <c r="R30" s="10"/>
      <c r="S30" s="9"/>
      <c r="T30" s="10">
        <v>122.93</v>
      </c>
      <c r="U30" s="9"/>
      <c r="V30" s="10"/>
      <c r="W30" s="9"/>
      <c r="X30" s="10">
        <v>314.39</v>
      </c>
      <c r="Y30" s="9"/>
      <c r="Z30" s="10"/>
      <c r="AA30" s="11">
        <f t="shared" si="0"/>
        <v>1350.98</v>
      </c>
      <c r="AB30" s="12">
        <f t="shared" si="1"/>
        <v>1685.75</v>
      </c>
    </row>
    <row r="31" spans="1:28" ht="15" thickBot="1" x14ac:dyDescent="0.35">
      <c r="A31" s="36" t="s">
        <v>30</v>
      </c>
      <c r="B31" s="2" t="s">
        <v>55</v>
      </c>
      <c r="C31" s="4"/>
      <c r="D31" s="7"/>
      <c r="E31" s="4"/>
      <c r="F31" s="7">
        <v>1176</v>
      </c>
      <c r="G31" s="4"/>
      <c r="H31" s="7"/>
      <c r="I31" s="4"/>
      <c r="J31" s="7">
        <v>317</v>
      </c>
      <c r="K31" s="4"/>
      <c r="L31" s="7"/>
      <c r="M31" s="4"/>
      <c r="N31" s="7">
        <v>212</v>
      </c>
      <c r="O31" s="4"/>
      <c r="P31" s="7"/>
      <c r="Q31" s="4"/>
      <c r="R31" s="7">
        <v>148</v>
      </c>
      <c r="S31" s="4"/>
      <c r="T31" s="7"/>
      <c r="U31" s="4"/>
      <c r="V31" s="7"/>
      <c r="W31" s="4"/>
      <c r="X31" s="7">
        <v>286</v>
      </c>
      <c r="Y31" s="4"/>
      <c r="Z31" s="7"/>
      <c r="AA31" s="4">
        <f t="shared" si="0"/>
        <v>0</v>
      </c>
      <c r="AB31" s="7">
        <f t="shared" si="1"/>
        <v>2139</v>
      </c>
    </row>
    <row r="32" spans="1:28" ht="15" thickBot="1" x14ac:dyDescent="0.35">
      <c r="A32" s="37"/>
      <c r="B32" s="1" t="s">
        <v>16</v>
      </c>
      <c r="C32" s="9"/>
      <c r="D32" s="10"/>
      <c r="E32" s="9"/>
      <c r="F32" s="10">
        <v>317.62</v>
      </c>
      <c r="G32" s="9"/>
      <c r="H32" s="10"/>
      <c r="I32" s="9"/>
      <c r="J32" s="10">
        <v>154.13</v>
      </c>
      <c r="K32" s="9"/>
      <c r="L32" s="10"/>
      <c r="M32" s="9"/>
      <c r="N32" s="10">
        <v>135.63999999999999</v>
      </c>
      <c r="O32" s="9"/>
      <c r="P32" s="10"/>
      <c r="Q32" s="9"/>
      <c r="R32" s="10">
        <v>124.65</v>
      </c>
      <c r="S32" s="9"/>
      <c r="T32" s="10"/>
      <c r="U32" s="9"/>
      <c r="V32" s="10"/>
      <c r="W32" s="9"/>
      <c r="X32" s="10">
        <v>198.05</v>
      </c>
      <c r="Y32" s="9"/>
      <c r="Z32" s="10"/>
      <c r="AA32" s="11">
        <f t="shared" si="0"/>
        <v>0</v>
      </c>
      <c r="AB32" s="12">
        <f t="shared" si="1"/>
        <v>930.08999999999992</v>
      </c>
    </row>
    <row r="33" spans="1:28" ht="15" thickBot="1" x14ac:dyDescent="0.35">
      <c r="A33" s="36" t="s">
        <v>31</v>
      </c>
      <c r="B33" s="2" t="s">
        <v>55</v>
      </c>
      <c r="C33" s="4"/>
      <c r="D33" s="7"/>
      <c r="E33" s="4"/>
      <c r="F33" s="7">
        <v>555</v>
      </c>
      <c r="G33" s="4"/>
      <c r="H33" s="7"/>
      <c r="I33" s="4"/>
      <c r="J33" s="7">
        <v>527</v>
      </c>
      <c r="K33" s="4"/>
      <c r="L33" s="7"/>
      <c r="M33" s="4"/>
      <c r="N33" s="7">
        <v>557</v>
      </c>
      <c r="O33" s="4"/>
      <c r="P33" s="7"/>
      <c r="Q33" s="4"/>
      <c r="R33" s="7">
        <v>698</v>
      </c>
      <c r="S33" s="4"/>
      <c r="T33" s="7"/>
      <c r="U33" s="4"/>
      <c r="V33" s="7"/>
      <c r="W33" s="4"/>
      <c r="X33" s="7">
        <v>839</v>
      </c>
      <c r="Y33" s="4"/>
      <c r="Z33" s="7"/>
      <c r="AA33" s="4">
        <f t="shared" si="0"/>
        <v>0</v>
      </c>
      <c r="AB33" s="7">
        <f t="shared" si="1"/>
        <v>3176</v>
      </c>
    </row>
    <row r="34" spans="1:28" ht="15" thickBot="1" x14ac:dyDescent="0.35">
      <c r="A34" s="37"/>
      <c r="B34" s="1" t="s">
        <v>16</v>
      </c>
      <c r="C34" s="9"/>
      <c r="D34" s="10"/>
      <c r="E34" s="9"/>
      <c r="F34" s="10">
        <v>207.07</v>
      </c>
      <c r="G34" s="9"/>
      <c r="H34" s="10"/>
      <c r="I34" s="9"/>
      <c r="J34" s="10">
        <v>194.8</v>
      </c>
      <c r="K34" s="9"/>
      <c r="L34" s="10"/>
      <c r="M34" s="9"/>
      <c r="N34" s="10">
        <v>200.17</v>
      </c>
      <c r="O34" s="9"/>
      <c r="P34" s="10"/>
      <c r="Q34" s="9"/>
      <c r="R34" s="10">
        <v>231.07</v>
      </c>
      <c r="S34" s="9"/>
      <c r="T34" s="10"/>
      <c r="U34" s="9"/>
      <c r="V34" s="10"/>
      <c r="W34" s="9"/>
      <c r="X34" s="10">
        <v>306.77</v>
      </c>
      <c r="Y34" s="9"/>
      <c r="Z34" s="10"/>
      <c r="AA34" s="11">
        <f t="shared" si="0"/>
        <v>0</v>
      </c>
      <c r="AB34" s="12">
        <f t="shared" si="1"/>
        <v>1139.8799999999999</v>
      </c>
    </row>
    <row r="35" spans="1:28" ht="15" thickBot="1" x14ac:dyDescent="0.35">
      <c r="A35" s="38" t="s">
        <v>32</v>
      </c>
      <c r="B35" s="2" t="s">
        <v>55</v>
      </c>
      <c r="C35" s="4"/>
      <c r="D35" s="7"/>
      <c r="E35" s="4"/>
      <c r="F35" s="7">
        <v>0</v>
      </c>
      <c r="G35" s="4"/>
      <c r="H35" s="7"/>
      <c r="I35" s="4"/>
      <c r="J35" s="7">
        <v>0</v>
      </c>
      <c r="K35" s="4"/>
      <c r="L35" s="7"/>
      <c r="M35" s="4"/>
      <c r="N35" s="7">
        <v>0</v>
      </c>
      <c r="O35" s="4"/>
      <c r="P35" s="7"/>
      <c r="Q35" s="4"/>
      <c r="R35" s="7">
        <v>0</v>
      </c>
      <c r="S35" s="4"/>
      <c r="T35" s="7"/>
      <c r="U35" s="4"/>
      <c r="V35" s="7">
        <v>8</v>
      </c>
      <c r="W35" s="4"/>
      <c r="X35" s="7"/>
      <c r="Y35" s="4"/>
      <c r="Z35" s="7">
        <v>0</v>
      </c>
      <c r="AA35" s="4">
        <f t="shared" si="0"/>
        <v>0</v>
      </c>
      <c r="AB35" s="7">
        <f t="shared" si="1"/>
        <v>8</v>
      </c>
    </row>
    <row r="36" spans="1:28" ht="15" thickBot="1" x14ac:dyDescent="0.35">
      <c r="A36" s="39"/>
      <c r="B36" s="1" t="s">
        <v>16</v>
      </c>
      <c r="C36" s="9"/>
      <c r="D36" s="10"/>
      <c r="E36" s="9"/>
      <c r="F36" s="10">
        <v>41.11</v>
      </c>
      <c r="G36" s="9"/>
      <c r="H36" s="10"/>
      <c r="I36" s="9"/>
      <c r="J36" s="10">
        <v>37.72</v>
      </c>
      <c r="K36" s="9"/>
      <c r="L36" s="10"/>
      <c r="M36" s="9"/>
      <c r="N36" s="10">
        <v>37.72</v>
      </c>
      <c r="O36" s="9"/>
      <c r="P36" s="10"/>
      <c r="Q36" s="9"/>
      <c r="R36" s="10">
        <v>37.79</v>
      </c>
      <c r="S36" s="9"/>
      <c r="T36" s="10"/>
      <c r="U36" s="9"/>
      <c r="V36" s="10">
        <v>37.81</v>
      </c>
      <c r="W36" s="9"/>
      <c r="X36" s="10"/>
      <c r="Y36" s="9"/>
      <c r="Z36" s="10">
        <v>37.81</v>
      </c>
      <c r="AA36" s="11">
        <f t="shared" si="0"/>
        <v>0</v>
      </c>
      <c r="AB36" s="12">
        <f t="shared" si="1"/>
        <v>229.96</v>
      </c>
    </row>
    <row r="37" spans="1:28" ht="15" customHeight="1" thickBot="1" x14ac:dyDescent="0.35">
      <c r="A37" s="38" t="s">
        <v>33</v>
      </c>
      <c r="B37" s="2" t="s">
        <v>55</v>
      </c>
      <c r="C37" s="4"/>
      <c r="D37" s="7"/>
      <c r="E37" s="4"/>
      <c r="F37" s="7">
        <v>270</v>
      </c>
      <c r="G37" s="4"/>
      <c r="H37" s="7"/>
      <c r="I37" s="4"/>
      <c r="J37" s="7">
        <v>244</v>
      </c>
      <c r="K37" s="4"/>
      <c r="L37" s="7"/>
      <c r="M37" s="4"/>
      <c r="N37" s="7">
        <v>347</v>
      </c>
      <c r="O37" s="4"/>
      <c r="P37" s="7"/>
      <c r="Q37" s="4"/>
      <c r="R37" s="7">
        <v>316</v>
      </c>
      <c r="S37" s="4"/>
      <c r="T37" s="7"/>
      <c r="U37" s="4"/>
      <c r="V37" s="7">
        <v>275</v>
      </c>
      <c r="W37" s="4"/>
      <c r="X37" s="7"/>
      <c r="Y37" s="4"/>
      <c r="Z37" s="7">
        <v>303</v>
      </c>
      <c r="AA37" s="4">
        <f t="shared" si="0"/>
        <v>0</v>
      </c>
      <c r="AB37" s="7">
        <f t="shared" si="1"/>
        <v>1755</v>
      </c>
    </row>
    <row r="38" spans="1:28" ht="15" thickBot="1" x14ac:dyDescent="0.35">
      <c r="A38" s="39"/>
      <c r="B38" s="1" t="s">
        <v>16</v>
      </c>
      <c r="C38" s="9"/>
      <c r="D38" s="10"/>
      <c r="E38" s="9"/>
      <c r="F38" s="10">
        <v>91.93</v>
      </c>
      <c r="G38" s="9"/>
      <c r="H38" s="10"/>
      <c r="I38" s="9"/>
      <c r="J38" s="10">
        <v>80.72</v>
      </c>
      <c r="K38" s="9"/>
      <c r="L38" s="10"/>
      <c r="M38" s="9"/>
      <c r="N38" s="10">
        <v>98.87</v>
      </c>
      <c r="O38" s="9"/>
      <c r="P38" s="10"/>
      <c r="Q38" s="9"/>
      <c r="R38" s="10">
        <v>93.43</v>
      </c>
      <c r="S38" s="9"/>
      <c r="T38" s="10"/>
      <c r="U38" s="9"/>
      <c r="V38" s="10">
        <v>86.01</v>
      </c>
      <c r="W38" s="9"/>
      <c r="X38" s="10"/>
      <c r="Y38" s="9"/>
      <c r="Z38" s="10">
        <v>90.91</v>
      </c>
      <c r="AA38" s="11">
        <f t="shared" si="0"/>
        <v>0</v>
      </c>
      <c r="AB38" s="12">
        <f t="shared" si="1"/>
        <v>541.87</v>
      </c>
    </row>
    <row r="39" spans="1:28" ht="15" customHeight="1" thickBot="1" x14ac:dyDescent="0.35">
      <c r="A39" s="38" t="s">
        <v>34</v>
      </c>
      <c r="B39" s="2" t="s">
        <v>55</v>
      </c>
      <c r="C39" s="4"/>
      <c r="D39" s="7"/>
      <c r="E39" s="4"/>
      <c r="F39" s="7">
        <v>5170</v>
      </c>
      <c r="G39" s="4"/>
      <c r="H39" s="7"/>
      <c r="I39" s="4"/>
      <c r="J39" s="7">
        <v>3223</v>
      </c>
      <c r="K39" s="4"/>
      <c r="L39" s="7"/>
      <c r="M39" s="4"/>
      <c r="N39" s="7"/>
      <c r="O39" s="4"/>
      <c r="P39" s="7"/>
      <c r="Q39" s="4"/>
      <c r="R39" s="7"/>
      <c r="S39" s="4"/>
      <c r="T39" s="7"/>
      <c r="U39" s="4"/>
      <c r="V39" s="7"/>
      <c r="W39" s="4"/>
      <c r="X39" s="7">
        <v>408</v>
      </c>
      <c r="Y39" s="4"/>
      <c r="Z39" s="7"/>
      <c r="AA39" s="4">
        <f t="shared" si="0"/>
        <v>0</v>
      </c>
      <c r="AB39" s="7">
        <f t="shared" si="1"/>
        <v>8801</v>
      </c>
    </row>
    <row r="40" spans="1:28" ht="15" thickBot="1" x14ac:dyDescent="0.35">
      <c r="A40" s="39"/>
      <c r="B40" s="1" t="s">
        <v>16</v>
      </c>
      <c r="C40" s="9"/>
      <c r="D40" s="10"/>
      <c r="E40" s="9"/>
      <c r="F40" s="10">
        <v>1008.51</v>
      </c>
      <c r="G40" s="9"/>
      <c r="H40" s="10"/>
      <c r="I40" s="9"/>
      <c r="J40" s="10">
        <v>605.63</v>
      </c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>
        <v>128.21</v>
      </c>
      <c r="Y40" s="9"/>
      <c r="Z40" s="10"/>
      <c r="AA40" s="11">
        <f t="shared" si="0"/>
        <v>0</v>
      </c>
      <c r="AB40" s="12">
        <f t="shared" si="1"/>
        <v>1742.35</v>
      </c>
    </row>
    <row r="41" spans="1:28" ht="15" thickBot="1" x14ac:dyDescent="0.35">
      <c r="A41" s="38" t="s">
        <v>35</v>
      </c>
      <c r="B41" s="2" t="s">
        <v>55</v>
      </c>
      <c r="C41" s="4"/>
      <c r="D41" s="7"/>
      <c r="E41" s="4"/>
      <c r="F41" s="7">
        <v>4469</v>
      </c>
      <c r="G41" s="4"/>
      <c r="H41" s="7"/>
      <c r="I41" s="4"/>
      <c r="J41" s="7">
        <v>3512</v>
      </c>
      <c r="K41" s="4"/>
      <c r="L41" s="7"/>
      <c r="M41" s="4"/>
      <c r="N41" s="7">
        <v>2360</v>
      </c>
      <c r="O41" s="4"/>
      <c r="P41" s="7"/>
      <c r="Q41" s="4"/>
      <c r="R41" s="7">
        <v>1484</v>
      </c>
      <c r="S41" s="4"/>
      <c r="T41" s="7"/>
      <c r="U41" s="4"/>
      <c r="V41" s="7"/>
      <c r="W41" s="4"/>
      <c r="X41" s="7">
        <v>1730</v>
      </c>
      <c r="Y41" s="4"/>
      <c r="Z41" s="7"/>
      <c r="AA41" s="4">
        <f t="shared" si="0"/>
        <v>0</v>
      </c>
      <c r="AB41" s="7">
        <f t="shared" si="1"/>
        <v>13555</v>
      </c>
    </row>
    <row r="42" spans="1:28" ht="15" thickBot="1" x14ac:dyDescent="0.35">
      <c r="A42" s="39"/>
      <c r="B42" s="1" t="s">
        <v>16</v>
      </c>
      <c r="C42" s="9"/>
      <c r="D42" s="10"/>
      <c r="E42" s="9"/>
      <c r="F42" s="10">
        <v>921.24</v>
      </c>
      <c r="G42" s="9"/>
      <c r="H42" s="10"/>
      <c r="I42" s="9"/>
      <c r="J42" s="10">
        <v>692.9</v>
      </c>
      <c r="K42" s="9"/>
      <c r="L42" s="10"/>
      <c r="M42" s="9"/>
      <c r="N42" s="10">
        <v>489.92</v>
      </c>
      <c r="O42" s="9"/>
      <c r="P42" s="10"/>
      <c r="Q42" s="9"/>
      <c r="R42" s="10">
        <v>336.37</v>
      </c>
      <c r="S42" s="9"/>
      <c r="T42" s="10"/>
      <c r="U42" s="9"/>
      <c r="V42" s="10"/>
      <c r="W42" s="9"/>
      <c r="X42" s="10">
        <v>415.59</v>
      </c>
      <c r="Y42" s="9"/>
      <c r="Z42" s="10"/>
      <c r="AA42" s="11">
        <f t="shared" si="0"/>
        <v>0</v>
      </c>
      <c r="AB42" s="12">
        <f t="shared" si="1"/>
        <v>2856.02</v>
      </c>
    </row>
    <row r="43" spans="1:28" ht="15" thickBot="1" x14ac:dyDescent="0.35">
      <c r="A43" s="38" t="s">
        <v>36</v>
      </c>
      <c r="B43" s="2" t="s">
        <v>55</v>
      </c>
      <c r="C43" s="4"/>
      <c r="D43" s="7"/>
      <c r="E43" s="4"/>
      <c r="F43" s="7">
        <v>13</v>
      </c>
      <c r="G43" s="4"/>
      <c r="H43" s="7"/>
      <c r="I43" s="4"/>
      <c r="J43" s="7">
        <v>11</v>
      </c>
      <c r="K43" s="4"/>
      <c r="L43" s="7"/>
      <c r="M43" s="4"/>
      <c r="N43" s="7">
        <v>20</v>
      </c>
      <c r="O43" s="4"/>
      <c r="P43" s="7"/>
      <c r="Q43" s="4"/>
      <c r="R43" s="7">
        <v>62</v>
      </c>
      <c r="S43" s="4"/>
      <c r="T43" s="7"/>
      <c r="U43" s="4"/>
      <c r="V43" s="7"/>
      <c r="W43" s="4"/>
      <c r="X43" s="7">
        <v>40</v>
      </c>
      <c r="Y43" s="4"/>
      <c r="Z43" s="7"/>
      <c r="AA43" s="4">
        <f t="shared" si="0"/>
        <v>0</v>
      </c>
      <c r="AB43" s="7">
        <f t="shared" si="1"/>
        <v>146</v>
      </c>
    </row>
    <row r="44" spans="1:28" ht="15" thickBot="1" x14ac:dyDescent="0.35">
      <c r="A44" s="39"/>
      <c r="B44" s="1" t="s">
        <v>16</v>
      </c>
      <c r="C44" s="9"/>
      <c r="D44" s="10"/>
      <c r="E44" s="9"/>
      <c r="F44" s="10">
        <v>103.13</v>
      </c>
      <c r="G44" s="9"/>
      <c r="H44" s="10"/>
      <c r="I44" s="9"/>
      <c r="J44" s="10">
        <v>100.22</v>
      </c>
      <c r="K44" s="9"/>
      <c r="L44" s="10"/>
      <c r="M44" s="9"/>
      <c r="N44" s="10">
        <v>101.8</v>
      </c>
      <c r="O44" s="9"/>
      <c r="P44" s="10"/>
      <c r="Q44" s="9"/>
      <c r="R44" s="10">
        <v>109.55</v>
      </c>
      <c r="S44" s="9"/>
      <c r="T44" s="10"/>
      <c r="U44" s="9"/>
      <c r="V44" s="10"/>
      <c r="W44" s="9"/>
      <c r="X44" s="10">
        <v>154.96</v>
      </c>
      <c r="Y44" s="9"/>
      <c r="Z44" s="10"/>
      <c r="AA44" s="11">
        <f t="shared" si="0"/>
        <v>0</v>
      </c>
      <c r="AB44" s="12">
        <f t="shared" si="1"/>
        <v>569.66</v>
      </c>
    </row>
    <row r="45" spans="1:28" ht="15" thickBot="1" x14ac:dyDescent="0.35">
      <c r="A45" s="38" t="s">
        <v>37</v>
      </c>
      <c r="B45" s="2" t="s">
        <v>55</v>
      </c>
      <c r="C45" s="4"/>
      <c r="D45" s="7">
        <v>2232</v>
      </c>
      <c r="E45" s="4"/>
      <c r="F45" s="7"/>
      <c r="G45" s="4">
        <v>77051</v>
      </c>
      <c r="H45" s="7">
        <v>1724</v>
      </c>
      <c r="I45" s="4"/>
      <c r="J45" s="7"/>
      <c r="K45" s="4"/>
      <c r="L45" s="7">
        <v>1284</v>
      </c>
      <c r="M45" s="4">
        <v>52884</v>
      </c>
      <c r="N45" s="7"/>
      <c r="O45" s="4"/>
      <c r="P45" s="7">
        <v>889</v>
      </c>
      <c r="Q45" s="4"/>
      <c r="R45" s="7"/>
      <c r="S45" s="4">
        <v>4409</v>
      </c>
      <c r="T45" s="7">
        <v>832</v>
      </c>
      <c r="U45" s="4"/>
      <c r="V45" s="7"/>
      <c r="W45" s="4"/>
      <c r="X45" s="7">
        <v>936</v>
      </c>
      <c r="Y45" s="4"/>
      <c r="Z45" s="7"/>
      <c r="AA45" s="4">
        <f t="shared" si="0"/>
        <v>134344</v>
      </c>
      <c r="AB45" s="7">
        <f t="shared" si="1"/>
        <v>7897</v>
      </c>
    </row>
    <row r="46" spans="1:28" ht="15" thickBot="1" x14ac:dyDescent="0.35">
      <c r="A46" s="39"/>
      <c r="B46" s="1" t="s">
        <v>16</v>
      </c>
      <c r="C46" s="9"/>
      <c r="D46" s="10">
        <v>440.39</v>
      </c>
      <c r="E46" s="9"/>
      <c r="F46" s="10"/>
      <c r="G46" s="9">
        <v>10655.9</v>
      </c>
      <c r="H46" s="10">
        <v>384.9</v>
      </c>
      <c r="I46" s="9"/>
      <c r="J46" s="10"/>
      <c r="K46" s="9"/>
      <c r="L46" s="10">
        <v>287.45999999999998</v>
      </c>
      <c r="M46" s="9">
        <v>8036.95</v>
      </c>
      <c r="N46" s="10"/>
      <c r="O46" s="9"/>
      <c r="P46" s="10">
        <v>217.85</v>
      </c>
      <c r="Q46" s="9"/>
      <c r="R46" s="10"/>
      <c r="S46" s="9">
        <v>871.49</v>
      </c>
      <c r="T46" s="10">
        <v>207.64</v>
      </c>
      <c r="U46" s="9"/>
      <c r="V46" s="10"/>
      <c r="W46" s="9"/>
      <c r="X46" s="10">
        <v>225.57</v>
      </c>
      <c r="Y46" s="9"/>
      <c r="Z46" s="10"/>
      <c r="AA46" s="11">
        <f t="shared" si="0"/>
        <v>19564.34</v>
      </c>
      <c r="AB46" s="12">
        <f t="shared" si="1"/>
        <v>1763.8099999999997</v>
      </c>
    </row>
    <row r="47" spans="1:28" ht="15" thickBot="1" x14ac:dyDescent="0.35">
      <c r="A47" s="38" t="s">
        <v>38</v>
      </c>
      <c r="B47" s="2" t="s">
        <v>55</v>
      </c>
      <c r="C47" s="4"/>
      <c r="D47" s="7"/>
      <c r="E47" s="4"/>
      <c r="F47" s="7">
        <v>6903</v>
      </c>
      <c r="G47" s="4"/>
      <c r="H47" s="7"/>
      <c r="I47" s="4"/>
      <c r="J47" s="7">
        <v>5337</v>
      </c>
      <c r="K47" s="4"/>
      <c r="L47" s="7"/>
      <c r="M47" s="4"/>
      <c r="N47" s="7">
        <v>2294</v>
      </c>
      <c r="O47" s="4"/>
      <c r="P47" s="7"/>
      <c r="Q47" s="4">
        <v>84106</v>
      </c>
      <c r="R47" s="7">
        <v>1112</v>
      </c>
      <c r="S47" s="4"/>
      <c r="T47" s="7"/>
      <c r="U47" s="4"/>
      <c r="V47" s="7"/>
      <c r="W47" s="4"/>
      <c r="X47" s="7">
        <v>1283</v>
      </c>
      <c r="Y47" s="4"/>
      <c r="Z47" s="7"/>
      <c r="AA47" s="4">
        <f t="shared" si="0"/>
        <v>84106</v>
      </c>
      <c r="AB47" s="7">
        <f t="shared" si="1"/>
        <v>16929</v>
      </c>
    </row>
    <row r="48" spans="1:28" ht="15" thickBot="1" x14ac:dyDescent="0.35">
      <c r="A48" s="39"/>
      <c r="B48" s="1" t="s">
        <v>16</v>
      </c>
      <c r="C48" s="9"/>
      <c r="D48" s="10"/>
      <c r="E48" s="9"/>
      <c r="F48" s="10">
        <v>1407.06</v>
      </c>
      <c r="G48" s="9"/>
      <c r="H48" s="10"/>
      <c r="I48" s="9"/>
      <c r="J48" s="10">
        <v>1007.83</v>
      </c>
      <c r="K48" s="9"/>
      <c r="L48" s="10"/>
      <c r="M48" s="9"/>
      <c r="N48" s="10">
        <v>606.11</v>
      </c>
      <c r="O48" s="9"/>
      <c r="P48" s="10"/>
      <c r="Q48" s="9">
        <v>14986.39</v>
      </c>
      <c r="R48" s="10">
        <v>292.43</v>
      </c>
      <c r="S48" s="9"/>
      <c r="T48" s="10"/>
      <c r="U48" s="9"/>
      <c r="V48" s="10"/>
      <c r="W48" s="9"/>
      <c r="X48" s="10">
        <v>369.49</v>
      </c>
      <c r="Y48" s="9"/>
      <c r="Z48" s="10"/>
      <c r="AA48" s="11">
        <f t="shared" si="0"/>
        <v>14986.39</v>
      </c>
      <c r="AB48" s="12">
        <f t="shared" si="1"/>
        <v>3682.92</v>
      </c>
    </row>
    <row r="49" spans="1:28" ht="15" customHeight="1" thickBot="1" x14ac:dyDescent="0.35">
      <c r="A49" s="38" t="s">
        <v>39</v>
      </c>
      <c r="B49" s="2" t="s">
        <v>55</v>
      </c>
      <c r="C49" s="4"/>
      <c r="D49" s="7"/>
      <c r="E49" s="4">
        <v>87</v>
      </c>
      <c r="F49" s="7">
        <v>18446</v>
      </c>
      <c r="G49" s="4"/>
      <c r="H49" s="7"/>
      <c r="I49" s="4"/>
      <c r="J49" s="7">
        <v>13851</v>
      </c>
      <c r="K49" s="4">
        <v>0</v>
      </c>
      <c r="L49" s="7"/>
      <c r="M49" s="4"/>
      <c r="N49" s="7">
        <v>5540</v>
      </c>
      <c r="O49" s="4"/>
      <c r="P49" s="7"/>
      <c r="Q49" s="4"/>
      <c r="R49" s="7">
        <v>1617</v>
      </c>
      <c r="S49" s="4"/>
      <c r="T49" s="7"/>
      <c r="U49" s="4"/>
      <c r="V49" s="7"/>
      <c r="W49" s="4"/>
      <c r="X49" s="7">
        <v>3443</v>
      </c>
      <c r="Y49" s="4"/>
      <c r="Z49" s="7"/>
      <c r="AA49" s="4">
        <f t="shared" si="0"/>
        <v>87</v>
      </c>
      <c r="AB49" s="7">
        <f t="shared" si="1"/>
        <v>42897</v>
      </c>
    </row>
    <row r="50" spans="1:28" ht="15" thickBot="1" x14ac:dyDescent="0.35">
      <c r="A50" s="39"/>
      <c r="B50" s="1" t="s">
        <v>16</v>
      </c>
      <c r="C50" s="9"/>
      <c r="D50" s="10"/>
      <c r="E50" s="9">
        <v>75.17</v>
      </c>
      <c r="F50" s="10">
        <v>3588.13</v>
      </c>
      <c r="G50" s="9"/>
      <c r="H50" s="10"/>
      <c r="I50" s="9"/>
      <c r="J50" s="10">
        <v>2538.94</v>
      </c>
      <c r="K50" s="9">
        <v>387.11</v>
      </c>
      <c r="L50" s="10"/>
      <c r="M50" s="9"/>
      <c r="N50" s="10">
        <v>1074.47</v>
      </c>
      <c r="O50" s="9"/>
      <c r="P50" s="10"/>
      <c r="Q50" s="9"/>
      <c r="R50" s="10">
        <v>383.48</v>
      </c>
      <c r="S50" s="9"/>
      <c r="T50" s="10"/>
      <c r="U50" s="9"/>
      <c r="V50" s="10"/>
      <c r="W50" s="9"/>
      <c r="X50" s="10">
        <v>751.36</v>
      </c>
      <c r="Y50" s="9"/>
      <c r="Z50" s="10"/>
      <c r="AA50" s="11">
        <f t="shared" si="0"/>
        <v>462.28000000000003</v>
      </c>
      <c r="AB50" s="12">
        <f t="shared" si="1"/>
        <v>8336.380000000001</v>
      </c>
    </row>
    <row r="51" spans="1:28" ht="15" thickBot="1" x14ac:dyDescent="0.35">
      <c r="A51" s="38" t="s">
        <v>57</v>
      </c>
      <c r="B51" s="2" t="s">
        <v>55</v>
      </c>
      <c r="C51" s="4"/>
      <c r="D51" s="7"/>
      <c r="E51" s="4"/>
      <c r="F51" s="7">
        <v>0</v>
      </c>
      <c r="G51" s="4"/>
      <c r="H51" s="7"/>
      <c r="I51" s="4"/>
      <c r="J51" s="7">
        <v>539</v>
      </c>
      <c r="K51" s="4"/>
      <c r="L51" s="7"/>
      <c r="M51" s="4"/>
      <c r="N51" s="7">
        <v>249</v>
      </c>
      <c r="O51" s="4"/>
      <c r="P51" s="7"/>
      <c r="Q51" s="4"/>
      <c r="R51" s="7">
        <v>4675</v>
      </c>
      <c r="S51" s="4"/>
      <c r="T51" s="7"/>
      <c r="U51" s="4"/>
      <c r="V51" s="7"/>
      <c r="W51" s="4"/>
      <c r="X51" s="7">
        <v>1130</v>
      </c>
      <c r="Y51" s="4"/>
      <c r="Z51" s="7"/>
      <c r="AA51" s="4">
        <f t="shared" si="0"/>
        <v>0</v>
      </c>
      <c r="AB51" s="7">
        <f t="shared" si="1"/>
        <v>6593</v>
      </c>
    </row>
    <row r="52" spans="1:28" ht="15" thickBot="1" x14ac:dyDescent="0.35">
      <c r="A52" s="39"/>
      <c r="B52" s="1" t="s">
        <v>16</v>
      </c>
      <c r="C52" s="9"/>
      <c r="D52" s="10"/>
      <c r="E52" s="9"/>
      <c r="F52" s="10">
        <v>48.17</v>
      </c>
      <c r="G52" s="9"/>
      <c r="H52" s="10"/>
      <c r="I52" s="9"/>
      <c r="J52" s="10">
        <v>152.76</v>
      </c>
      <c r="K52" s="9"/>
      <c r="L52" s="10"/>
      <c r="M52" s="9"/>
      <c r="N52" s="10">
        <v>93.8</v>
      </c>
      <c r="O52" s="9"/>
      <c r="P52" s="10"/>
      <c r="Q52" s="9"/>
      <c r="R52" s="10">
        <v>871.19</v>
      </c>
      <c r="S52" s="9"/>
      <c r="T52" s="10"/>
      <c r="U52" s="9"/>
      <c r="V52" s="10"/>
      <c r="W52" s="9"/>
      <c r="X52" s="10">
        <v>273.13</v>
      </c>
      <c r="Y52" s="9"/>
      <c r="Z52" s="10"/>
      <c r="AA52" s="11">
        <f t="shared" si="0"/>
        <v>0</v>
      </c>
      <c r="AB52" s="12">
        <f t="shared" si="1"/>
        <v>1439.0500000000002</v>
      </c>
    </row>
    <row r="53" spans="1:28" ht="15" customHeight="1" thickBot="1" x14ac:dyDescent="0.35">
      <c r="A53" s="38" t="s">
        <v>40</v>
      </c>
      <c r="B53" s="2" t="s">
        <v>55</v>
      </c>
      <c r="C53" s="4"/>
      <c r="D53" s="7"/>
      <c r="E53" s="4"/>
      <c r="F53" s="7">
        <v>79</v>
      </c>
      <c r="G53" s="4"/>
      <c r="H53" s="7"/>
      <c r="I53" s="4"/>
      <c r="J53" s="7"/>
      <c r="K53" s="4"/>
      <c r="L53" s="7"/>
      <c r="M53" s="4"/>
      <c r="N53" s="7"/>
      <c r="O53" s="4"/>
      <c r="P53" s="7"/>
      <c r="Q53" s="4"/>
      <c r="R53" s="7">
        <v>1904</v>
      </c>
      <c r="S53" s="4"/>
      <c r="T53" s="7"/>
      <c r="U53" s="4"/>
      <c r="V53" s="7">
        <v>1050</v>
      </c>
      <c r="W53" s="4"/>
      <c r="X53" s="7"/>
      <c r="Y53" s="4"/>
      <c r="Z53" s="7">
        <v>80</v>
      </c>
      <c r="AA53" s="4">
        <f t="shared" si="0"/>
        <v>0</v>
      </c>
      <c r="AB53" s="7">
        <f t="shared" si="1"/>
        <v>3113</v>
      </c>
    </row>
    <row r="54" spans="1:28" ht="15" thickBot="1" x14ac:dyDescent="0.35">
      <c r="A54" s="39"/>
      <c r="B54" s="1" t="s">
        <v>16</v>
      </c>
      <c r="C54" s="9"/>
      <c r="D54" s="10"/>
      <c r="E54" s="9"/>
      <c r="F54" s="10">
        <v>55.86</v>
      </c>
      <c r="G54" s="9"/>
      <c r="H54" s="10"/>
      <c r="I54" s="9"/>
      <c r="J54" s="10"/>
      <c r="K54" s="9"/>
      <c r="L54" s="10"/>
      <c r="M54" s="9"/>
      <c r="N54" s="10"/>
      <c r="O54" s="9"/>
      <c r="P54" s="10"/>
      <c r="Q54" s="9"/>
      <c r="R54" s="10">
        <v>373.02</v>
      </c>
      <c r="S54" s="9"/>
      <c r="T54" s="10"/>
      <c r="U54" s="9"/>
      <c r="V54" s="10">
        <v>221.84</v>
      </c>
      <c r="W54" s="9"/>
      <c r="X54" s="10"/>
      <c r="Y54" s="9"/>
      <c r="Z54" s="10">
        <v>51.84</v>
      </c>
      <c r="AA54" s="11">
        <f t="shared" si="0"/>
        <v>0</v>
      </c>
      <c r="AB54" s="12">
        <f t="shared" si="1"/>
        <v>702.56000000000006</v>
      </c>
    </row>
    <row r="55" spans="1:28" ht="15" thickBot="1" x14ac:dyDescent="0.35">
      <c r="A55" s="38" t="s">
        <v>41</v>
      </c>
      <c r="B55" s="2" t="s">
        <v>55</v>
      </c>
      <c r="C55" s="4"/>
      <c r="D55" s="7">
        <v>82</v>
      </c>
      <c r="E55" s="4"/>
      <c r="F55" s="7">
        <v>43</v>
      </c>
      <c r="G55" s="4"/>
      <c r="H55" s="7">
        <v>98</v>
      </c>
      <c r="I55" s="4"/>
      <c r="J55" s="7">
        <v>77</v>
      </c>
      <c r="K55" s="4"/>
      <c r="L55" s="7">
        <v>38</v>
      </c>
      <c r="M55" s="4"/>
      <c r="N55" s="7"/>
      <c r="O55" s="4"/>
      <c r="P55" s="7">
        <v>33</v>
      </c>
      <c r="Q55" s="4"/>
      <c r="R55" s="7"/>
      <c r="S55" s="4"/>
      <c r="T55" s="7">
        <v>36</v>
      </c>
      <c r="U55" s="4"/>
      <c r="V55" s="7"/>
      <c r="W55" s="4"/>
      <c r="X55" s="7">
        <v>63</v>
      </c>
      <c r="Y55" s="4"/>
      <c r="Z55" s="7">
        <v>216</v>
      </c>
      <c r="AA55" s="4">
        <f t="shared" si="0"/>
        <v>0</v>
      </c>
      <c r="AB55" s="7">
        <f t="shared" si="1"/>
        <v>686</v>
      </c>
    </row>
    <row r="56" spans="1:28" ht="15" thickBot="1" x14ac:dyDescent="0.35">
      <c r="A56" s="39"/>
      <c r="B56" s="1" t="s">
        <v>16</v>
      </c>
      <c r="C56" s="9"/>
      <c r="D56" s="10">
        <v>45.86</v>
      </c>
      <c r="E56" s="9"/>
      <c r="F56" s="10">
        <v>63.34</v>
      </c>
      <c r="G56" s="9"/>
      <c r="H56" s="10">
        <v>69.47</v>
      </c>
      <c r="I56" s="9"/>
      <c r="J56" s="10">
        <v>66.989999999999995</v>
      </c>
      <c r="K56" s="9"/>
      <c r="L56" s="10">
        <v>38.19</v>
      </c>
      <c r="M56" s="9"/>
      <c r="N56" s="10"/>
      <c r="O56" s="9"/>
      <c r="P56" s="10">
        <v>37.31</v>
      </c>
      <c r="Q56" s="9"/>
      <c r="R56" s="10"/>
      <c r="S56" s="9"/>
      <c r="T56" s="10">
        <v>38.159999999999997</v>
      </c>
      <c r="U56" s="9"/>
      <c r="V56" s="10"/>
      <c r="W56" s="9"/>
      <c r="X56" s="10">
        <v>42.79</v>
      </c>
      <c r="Y56" s="9"/>
      <c r="Z56" s="10">
        <v>51.56</v>
      </c>
      <c r="AA56" s="11">
        <f t="shared" si="0"/>
        <v>0</v>
      </c>
      <c r="AB56" s="12">
        <f t="shared" si="1"/>
        <v>453.67000000000007</v>
      </c>
    </row>
    <row r="57" spans="1:28" ht="15" thickBot="1" x14ac:dyDescent="0.35">
      <c r="A57" s="38" t="s">
        <v>42</v>
      </c>
      <c r="B57" s="2" t="s">
        <v>55</v>
      </c>
      <c r="C57" s="4"/>
      <c r="D57" s="7"/>
      <c r="E57" s="4">
        <v>4671</v>
      </c>
      <c r="F57" s="7">
        <v>2077</v>
      </c>
      <c r="G57" s="4"/>
      <c r="H57" s="7"/>
      <c r="I57" s="4"/>
      <c r="J57" s="7">
        <v>1276</v>
      </c>
      <c r="K57" s="4">
        <v>2642</v>
      </c>
      <c r="L57" s="7"/>
      <c r="M57" s="4"/>
      <c r="N57" s="7">
        <v>433</v>
      </c>
      <c r="O57" s="4"/>
      <c r="P57" s="7"/>
      <c r="Q57" s="4">
        <f>432</f>
        <v>432</v>
      </c>
      <c r="R57" s="7">
        <v>178</v>
      </c>
      <c r="S57" s="4"/>
      <c r="T57" s="7"/>
      <c r="U57" s="4"/>
      <c r="V57" s="7"/>
      <c r="W57" s="4"/>
      <c r="X57" s="7">
        <v>365</v>
      </c>
      <c r="Y57" s="4"/>
      <c r="Z57" s="7"/>
      <c r="AA57" s="4">
        <f t="shared" si="0"/>
        <v>7745</v>
      </c>
      <c r="AB57" s="7">
        <f t="shared" si="1"/>
        <v>4329</v>
      </c>
    </row>
    <row r="58" spans="1:28" ht="15" thickBot="1" x14ac:dyDescent="0.35">
      <c r="A58" s="39"/>
      <c r="B58" s="1" t="s">
        <v>16</v>
      </c>
      <c r="C58" s="9"/>
      <c r="D58" s="10"/>
      <c r="E58" s="9">
        <v>731.39</v>
      </c>
      <c r="F58" s="10">
        <v>457.6</v>
      </c>
      <c r="G58" s="9"/>
      <c r="H58" s="10"/>
      <c r="I58" s="9"/>
      <c r="J58" s="10">
        <v>286.04000000000002</v>
      </c>
      <c r="K58" s="9">
        <v>444.73</v>
      </c>
      <c r="L58" s="10"/>
      <c r="M58" s="9"/>
      <c r="N58" s="10">
        <v>137.5</v>
      </c>
      <c r="O58" s="9"/>
      <c r="P58" s="10"/>
      <c r="Q58" s="9">
        <f>146.52</f>
        <v>146.52000000000001</v>
      </c>
      <c r="R58" s="10">
        <v>92.82</v>
      </c>
      <c r="S58" s="9"/>
      <c r="T58" s="10"/>
      <c r="U58" s="9"/>
      <c r="V58" s="10"/>
      <c r="W58" s="9"/>
      <c r="X58" s="10">
        <v>156.22999999999999</v>
      </c>
      <c r="Y58" s="9"/>
      <c r="Z58" s="10"/>
      <c r="AA58" s="11">
        <f t="shared" si="0"/>
        <v>1322.6399999999999</v>
      </c>
      <c r="AB58" s="12">
        <f t="shared" si="1"/>
        <v>1130.19</v>
      </c>
    </row>
    <row r="59" spans="1:28" ht="15" thickBot="1" x14ac:dyDescent="0.35">
      <c r="A59" s="38" t="s">
        <v>43</v>
      </c>
      <c r="B59" s="2" t="s">
        <v>55</v>
      </c>
      <c r="C59" s="4"/>
      <c r="D59" s="7"/>
      <c r="E59" s="4"/>
      <c r="F59" s="7">
        <v>0</v>
      </c>
      <c r="G59" s="4"/>
      <c r="H59" s="7"/>
      <c r="I59" s="4"/>
      <c r="J59" s="7">
        <v>0</v>
      </c>
      <c r="K59" s="4"/>
      <c r="L59" s="7"/>
      <c r="M59" s="4"/>
      <c r="N59" s="7">
        <v>0</v>
      </c>
      <c r="O59" s="4"/>
      <c r="P59" s="7"/>
      <c r="Q59" s="4"/>
      <c r="R59" s="7">
        <v>0</v>
      </c>
      <c r="S59" s="4"/>
      <c r="T59" s="7"/>
      <c r="U59" s="4"/>
      <c r="V59" s="7">
        <v>0</v>
      </c>
      <c r="W59" s="4"/>
      <c r="X59" s="7"/>
      <c r="Y59" s="4"/>
      <c r="Z59" s="7">
        <v>0</v>
      </c>
      <c r="AA59" s="4">
        <f t="shared" si="0"/>
        <v>0</v>
      </c>
      <c r="AB59" s="7">
        <f t="shared" si="1"/>
        <v>0</v>
      </c>
    </row>
    <row r="60" spans="1:28" ht="15" thickBot="1" x14ac:dyDescent="0.35">
      <c r="A60" s="39"/>
      <c r="B60" s="1" t="s">
        <v>16</v>
      </c>
      <c r="C60" s="9"/>
      <c r="D60" s="10"/>
      <c r="E60" s="9"/>
      <c r="F60" s="10">
        <v>46.91</v>
      </c>
      <c r="G60" s="9"/>
      <c r="H60" s="10"/>
      <c r="I60" s="9"/>
      <c r="J60" s="10">
        <v>43.54</v>
      </c>
      <c r="K60" s="9"/>
      <c r="L60" s="10"/>
      <c r="M60" s="9"/>
      <c r="N60" s="10">
        <v>43.54</v>
      </c>
      <c r="O60" s="9"/>
      <c r="P60" s="10"/>
      <c r="Q60" s="9"/>
      <c r="R60" s="10">
        <v>43.81</v>
      </c>
      <c r="S60" s="9"/>
      <c r="T60" s="10"/>
      <c r="U60" s="9"/>
      <c r="V60" s="10">
        <v>43.84</v>
      </c>
      <c r="W60" s="9"/>
      <c r="X60" s="10"/>
      <c r="Y60" s="9"/>
      <c r="Z60" s="10">
        <v>43.84</v>
      </c>
      <c r="AA60" s="11">
        <f t="shared" si="0"/>
        <v>0</v>
      </c>
      <c r="AB60" s="12">
        <f t="shared" si="1"/>
        <v>265.48</v>
      </c>
    </row>
    <row r="61" spans="1:28" ht="15" customHeight="1" thickBot="1" x14ac:dyDescent="0.35">
      <c r="A61" s="38" t="s">
        <v>44</v>
      </c>
      <c r="B61" s="2" t="s">
        <v>55</v>
      </c>
      <c r="C61" s="4"/>
      <c r="D61" s="7"/>
      <c r="E61" s="4"/>
      <c r="F61" s="7">
        <v>227</v>
      </c>
      <c r="G61" s="4"/>
      <c r="H61" s="7"/>
      <c r="I61" s="4"/>
      <c r="J61" s="7">
        <v>62</v>
      </c>
      <c r="K61" s="4"/>
      <c r="L61" s="7"/>
      <c r="M61" s="4"/>
      <c r="N61" s="7">
        <v>58</v>
      </c>
      <c r="O61" s="4"/>
      <c r="P61" s="7"/>
      <c r="Q61" s="4"/>
      <c r="R61" s="7">
        <v>45</v>
      </c>
      <c r="S61" s="4"/>
      <c r="T61" s="7"/>
      <c r="U61" s="4"/>
      <c r="V61" s="7">
        <v>41</v>
      </c>
      <c r="W61" s="4"/>
      <c r="X61" s="7"/>
      <c r="Y61" s="4"/>
      <c r="Z61" s="7">
        <v>61</v>
      </c>
      <c r="AA61" s="4">
        <f t="shared" si="0"/>
        <v>0</v>
      </c>
      <c r="AB61" s="7">
        <f t="shared" si="1"/>
        <v>494</v>
      </c>
    </row>
    <row r="62" spans="1:28" ht="15" thickBot="1" x14ac:dyDescent="0.35">
      <c r="A62" s="39"/>
      <c r="B62" s="1" t="s">
        <v>16</v>
      </c>
      <c r="C62" s="9"/>
      <c r="D62" s="10"/>
      <c r="E62" s="9"/>
      <c r="F62" s="10">
        <v>85.07</v>
      </c>
      <c r="G62" s="9"/>
      <c r="H62" s="10"/>
      <c r="I62" s="9"/>
      <c r="J62" s="10">
        <v>48.64</v>
      </c>
      <c r="K62" s="9"/>
      <c r="L62" s="10"/>
      <c r="M62" s="9"/>
      <c r="N62" s="10">
        <v>47.93</v>
      </c>
      <c r="O62" s="9"/>
      <c r="P62" s="10"/>
      <c r="Q62" s="9"/>
      <c r="R62" s="10">
        <v>45.73</v>
      </c>
      <c r="S62" s="9"/>
      <c r="T62" s="10"/>
      <c r="U62" s="9"/>
      <c r="V62" s="10">
        <v>45</v>
      </c>
      <c r="W62" s="9"/>
      <c r="X62" s="10"/>
      <c r="Y62" s="9"/>
      <c r="Z62" s="10">
        <v>48.5</v>
      </c>
      <c r="AA62" s="11">
        <f t="shared" si="0"/>
        <v>0</v>
      </c>
      <c r="AB62" s="12">
        <f t="shared" si="1"/>
        <v>320.87</v>
      </c>
    </row>
    <row r="63" spans="1:28" ht="15" thickBot="1" x14ac:dyDescent="0.35">
      <c r="A63" s="36" t="s">
        <v>45</v>
      </c>
      <c r="B63" s="2" t="s">
        <v>55</v>
      </c>
      <c r="C63" s="4"/>
      <c r="D63" s="7"/>
      <c r="E63" s="4"/>
      <c r="F63" s="7">
        <v>47</v>
      </c>
      <c r="G63" s="4"/>
      <c r="H63" s="7"/>
      <c r="I63" s="4"/>
      <c r="J63" s="7">
        <v>111</v>
      </c>
      <c r="K63" s="4"/>
      <c r="L63" s="7"/>
      <c r="M63" s="4"/>
      <c r="N63" s="7">
        <v>117</v>
      </c>
      <c r="O63" s="4"/>
      <c r="P63" s="7"/>
      <c r="Q63" s="4"/>
      <c r="R63" s="7">
        <v>27</v>
      </c>
      <c r="S63" s="4"/>
      <c r="T63" s="7"/>
      <c r="U63" s="4"/>
      <c r="V63" s="7">
        <v>0</v>
      </c>
      <c r="W63" s="4"/>
      <c r="X63" s="7"/>
      <c r="Y63" s="4"/>
      <c r="Z63" s="7"/>
      <c r="AA63" s="4">
        <f t="shared" si="0"/>
        <v>0</v>
      </c>
      <c r="AB63" s="7">
        <f t="shared" si="1"/>
        <v>302</v>
      </c>
    </row>
    <row r="64" spans="1:28" ht="15" thickBot="1" x14ac:dyDescent="0.35">
      <c r="A64" s="37"/>
      <c r="B64" s="1" t="s">
        <v>16</v>
      </c>
      <c r="C64" s="9"/>
      <c r="D64" s="10"/>
      <c r="E64" s="9"/>
      <c r="F64" s="10">
        <v>62.57</v>
      </c>
      <c r="G64" s="9"/>
      <c r="H64" s="10"/>
      <c r="I64" s="9"/>
      <c r="J64" s="10">
        <v>69.47</v>
      </c>
      <c r="K64" s="9"/>
      <c r="L64" s="10"/>
      <c r="M64" s="9"/>
      <c r="N64" s="10">
        <v>70.55</v>
      </c>
      <c r="O64" s="9"/>
      <c r="P64" s="10"/>
      <c r="Q64" s="9"/>
      <c r="R64" s="10">
        <v>54.81</v>
      </c>
      <c r="S64" s="9"/>
      <c r="T64" s="10"/>
      <c r="U64" s="9"/>
      <c r="V64" s="10">
        <v>50.09</v>
      </c>
      <c r="W64" s="9"/>
      <c r="X64" s="10"/>
      <c r="Y64" s="9"/>
      <c r="Z64" s="10"/>
      <c r="AA64" s="11">
        <f t="shared" si="0"/>
        <v>0</v>
      </c>
      <c r="AB64" s="12">
        <f t="shared" si="1"/>
        <v>307.49</v>
      </c>
    </row>
    <row r="65" spans="1:28" ht="15" thickBot="1" x14ac:dyDescent="0.35">
      <c r="A65" s="44" t="s">
        <v>1</v>
      </c>
      <c r="B65" s="46" t="s">
        <v>17</v>
      </c>
      <c r="C65" s="44" t="s">
        <v>2</v>
      </c>
      <c r="D65" s="48"/>
      <c r="E65" s="44" t="s">
        <v>3</v>
      </c>
      <c r="F65" s="48"/>
      <c r="G65" s="44" t="s">
        <v>4</v>
      </c>
      <c r="H65" s="48"/>
      <c r="I65" s="44" t="s">
        <v>5</v>
      </c>
      <c r="J65" s="48"/>
      <c r="K65" s="44" t="s">
        <v>6</v>
      </c>
      <c r="L65" s="48"/>
      <c r="M65" s="44" t="s">
        <v>7</v>
      </c>
      <c r="N65" s="48"/>
      <c r="O65" s="44" t="s">
        <v>8</v>
      </c>
      <c r="P65" s="48"/>
      <c r="Q65" s="44" t="s">
        <v>9</v>
      </c>
      <c r="R65" s="48"/>
      <c r="S65" s="44" t="s">
        <v>10</v>
      </c>
      <c r="T65" s="48"/>
      <c r="U65" s="44" t="s">
        <v>11</v>
      </c>
      <c r="V65" s="48"/>
      <c r="W65" s="44" t="s">
        <v>12</v>
      </c>
      <c r="X65" s="48"/>
      <c r="Y65" s="50" t="s">
        <v>13</v>
      </c>
      <c r="Z65" s="51"/>
      <c r="AA65" s="52" t="s">
        <v>64</v>
      </c>
      <c r="AB65" s="53"/>
    </row>
    <row r="66" spans="1:28" ht="15" thickBot="1" x14ac:dyDescent="0.35">
      <c r="A66" s="45"/>
      <c r="B66" s="47"/>
      <c r="C66" s="3" t="s">
        <v>14</v>
      </c>
      <c r="D66" s="6" t="s">
        <v>15</v>
      </c>
      <c r="E66" s="3" t="s">
        <v>14</v>
      </c>
      <c r="F66" s="6" t="s">
        <v>15</v>
      </c>
      <c r="G66" s="3" t="s">
        <v>14</v>
      </c>
      <c r="H66" s="6" t="s">
        <v>15</v>
      </c>
      <c r="I66" s="3" t="s">
        <v>14</v>
      </c>
      <c r="J66" s="6" t="s">
        <v>15</v>
      </c>
      <c r="K66" s="3" t="s">
        <v>14</v>
      </c>
      <c r="L66" s="6" t="s">
        <v>15</v>
      </c>
      <c r="M66" s="3" t="s">
        <v>14</v>
      </c>
      <c r="N66" s="6" t="s">
        <v>15</v>
      </c>
      <c r="O66" s="3" t="s">
        <v>14</v>
      </c>
      <c r="P66" s="6" t="s">
        <v>15</v>
      </c>
      <c r="Q66" s="3" t="s">
        <v>14</v>
      </c>
      <c r="R66" s="6" t="s">
        <v>15</v>
      </c>
      <c r="S66" s="3" t="s">
        <v>14</v>
      </c>
      <c r="T66" s="6" t="s">
        <v>15</v>
      </c>
      <c r="U66" s="3" t="s">
        <v>14</v>
      </c>
      <c r="V66" s="6" t="s">
        <v>15</v>
      </c>
      <c r="W66" s="3" t="s">
        <v>14</v>
      </c>
      <c r="X66" s="6" t="s">
        <v>15</v>
      </c>
      <c r="Y66" s="5" t="s">
        <v>14</v>
      </c>
      <c r="Z66" s="8" t="s">
        <v>15</v>
      </c>
      <c r="AA66" s="5" t="s">
        <v>14</v>
      </c>
      <c r="AB66" s="8" t="s">
        <v>15</v>
      </c>
    </row>
    <row r="67" spans="1:28" ht="15" thickBot="1" x14ac:dyDescent="0.35">
      <c r="A67" s="36" t="s">
        <v>46</v>
      </c>
      <c r="B67" s="2" t="s">
        <v>55</v>
      </c>
      <c r="C67" s="4"/>
      <c r="D67" s="7">
        <v>541</v>
      </c>
      <c r="E67" s="4"/>
      <c r="F67" s="7"/>
      <c r="G67" s="4"/>
      <c r="H67" s="7">
        <v>568</v>
      </c>
      <c r="I67" s="4"/>
      <c r="J67" s="7"/>
      <c r="K67" s="4"/>
      <c r="L67" s="7">
        <v>663</v>
      </c>
      <c r="M67" s="4"/>
      <c r="N67" s="7"/>
      <c r="O67" s="4"/>
      <c r="P67" s="7">
        <v>649</v>
      </c>
      <c r="Q67" s="4"/>
      <c r="R67" s="7"/>
      <c r="S67" s="4"/>
      <c r="T67" s="7">
        <v>767</v>
      </c>
      <c r="U67" s="4"/>
      <c r="V67" s="7"/>
      <c r="W67" s="4"/>
      <c r="X67" s="7">
        <v>548</v>
      </c>
      <c r="Y67" s="4"/>
      <c r="Z67" s="7"/>
      <c r="AA67" s="4">
        <f>C67+E67+G67+I67+K67+M67+O67+Q67+S67+U67+W67+Y67</f>
        <v>0</v>
      </c>
      <c r="AB67" s="7">
        <f>D67+F67+H67+J67+L67+N67+P67+R67+T67+V67+X67+Z67</f>
        <v>3736</v>
      </c>
    </row>
    <row r="68" spans="1:28" ht="15" thickBot="1" x14ac:dyDescent="0.35">
      <c r="A68" s="37"/>
      <c r="B68" s="1" t="s">
        <v>16</v>
      </c>
      <c r="C68" s="9"/>
      <c r="D68" s="10">
        <v>128.36000000000001</v>
      </c>
      <c r="E68" s="9"/>
      <c r="F68" s="10"/>
      <c r="G68" s="9"/>
      <c r="H68" s="10">
        <v>145.24</v>
      </c>
      <c r="I68" s="9"/>
      <c r="J68" s="10"/>
      <c r="K68" s="9"/>
      <c r="L68" s="10">
        <v>154.54</v>
      </c>
      <c r="M68" s="9"/>
      <c r="N68" s="10"/>
      <c r="O68" s="9"/>
      <c r="P68" s="10">
        <v>152.08000000000001</v>
      </c>
      <c r="Q68" s="9"/>
      <c r="R68" s="10"/>
      <c r="S68" s="9"/>
      <c r="T68" s="10">
        <v>172.6</v>
      </c>
      <c r="U68" s="9"/>
      <c r="V68" s="10"/>
      <c r="W68" s="9"/>
      <c r="X68" s="10">
        <v>133.85</v>
      </c>
      <c r="Y68" s="9"/>
      <c r="Z68" s="10"/>
      <c r="AA68" s="11">
        <f t="shared" ref="AA68:AA96" si="2">C68+E68+G68+I68+K68+M68+O68+Q68+S68+U68+W68+Y68</f>
        <v>0</v>
      </c>
      <c r="AB68" s="12">
        <f t="shared" ref="AB68:AB96" si="3">D68+F68+H68+J68+L68+N68+P68+R68+T68+V68+X68+Z68</f>
        <v>886.67000000000007</v>
      </c>
    </row>
    <row r="69" spans="1:28" ht="15" customHeight="1" thickBot="1" x14ac:dyDescent="0.35">
      <c r="A69" s="38" t="s">
        <v>47</v>
      </c>
      <c r="B69" s="2" t="s">
        <v>55</v>
      </c>
      <c r="C69" s="4"/>
      <c r="D69" s="7">
        <v>88</v>
      </c>
      <c r="E69" s="4"/>
      <c r="F69" s="7"/>
      <c r="G69" s="4"/>
      <c r="H69" s="7">
        <v>83</v>
      </c>
      <c r="I69" s="4"/>
      <c r="J69" s="7"/>
      <c r="K69" s="4"/>
      <c r="L69" s="7">
        <v>63</v>
      </c>
      <c r="M69" s="4"/>
      <c r="N69" s="7"/>
      <c r="O69" s="4"/>
      <c r="P69" s="7">
        <v>65</v>
      </c>
      <c r="Q69" s="4"/>
      <c r="R69" s="7"/>
      <c r="S69" s="4"/>
      <c r="T69" s="7">
        <v>41</v>
      </c>
      <c r="U69" s="4"/>
      <c r="V69" s="7"/>
      <c r="W69" s="4"/>
      <c r="X69" s="7">
        <v>42</v>
      </c>
      <c r="Y69" s="4"/>
      <c r="Z69" s="7"/>
      <c r="AA69" s="4">
        <f t="shared" si="2"/>
        <v>0</v>
      </c>
      <c r="AB69" s="7">
        <f t="shared" si="3"/>
        <v>382</v>
      </c>
    </row>
    <row r="70" spans="1:28" ht="15" thickBot="1" x14ac:dyDescent="0.35">
      <c r="A70" s="39"/>
      <c r="B70" s="1" t="s">
        <v>16</v>
      </c>
      <c r="C70" s="9"/>
      <c r="D70" s="10">
        <v>100.37</v>
      </c>
      <c r="E70" s="9"/>
      <c r="F70" s="10"/>
      <c r="G70" s="9"/>
      <c r="H70" s="10">
        <v>101.07</v>
      </c>
      <c r="I70" s="9"/>
      <c r="J70" s="10"/>
      <c r="K70" s="9"/>
      <c r="L70" s="10">
        <v>96.49</v>
      </c>
      <c r="M70" s="9"/>
      <c r="N70" s="10"/>
      <c r="O70" s="9"/>
      <c r="P70" s="10">
        <v>96.84</v>
      </c>
      <c r="Q70" s="9"/>
      <c r="R70" s="10"/>
      <c r="S70" s="9"/>
      <c r="T70" s="10">
        <v>94.85</v>
      </c>
      <c r="U70" s="9"/>
      <c r="V70" s="10"/>
      <c r="W70" s="9"/>
      <c r="X70" s="10">
        <v>94.44</v>
      </c>
      <c r="Y70" s="9"/>
      <c r="Z70" s="10"/>
      <c r="AA70" s="11">
        <f t="shared" si="2"/>
        <v>0</v>
      </c>
      <c r="AB70" s="12">
        <f t="shared" si="3"/>
        <v>584.05999999999995</v>
      </c>
    </row>
    <row r="71" spans="1:28" ht="15" customHeight="1" thickBot="1" x14ac:dyDescent="0.35">
      <c r="A71" s="38" t="s">
        <v>48</v>
      </c>
      <c r="B71" s="2" t="s">
        <v>55</v>
      </c>
      <c r="C71" s="4"/>
      <c r="D71" s="7">
        <v>0</v>
      </c>
      <c r="E71" s="4"/>
      <c r="F71" s="7"/>
      <c r="G71" s="4"/>
      <c r="H71" s="7">
        <v>0</v>
      </c>
      <c r="I71" s="4"/>
      <c r="J71" s="7"/>
      <c r="K71" s="4"/>
      <c r="L71" s="7">
        <v>0</v>
      </c>
      <c r="M71" s="4"/>
      <c r="N71" s="7"/>
      <c r="O71" s="4"/>
      <c r="P71" s="7">
        <v>7</v>
      </c>
      <c r="Q71" s="4"/>
      <c r="R71" s="7"/>
      <c r="S71" s="4"/>
      <c r="T71" s="7">
        <v>0</v>
      </c>
      <c r="U71" s="4"/>
      <c r="V71" s="7"/>
      <c r="W71" s="4"/>
      <c r="X71" s="7">
        <v>17</v>
      </c>
      <c r="Y71" s="4"/>
      <c r="Z71" s="7"/>
      <c r="AA71" s="4">
        <f t="shared" si="2"/>
        <v>0</v>
      </c>
      <c r="AB71" s="7">
        <f t="shared" si="3"/>
        <v>24</v>
      </c>
    </row>
    <row r="72" spans="1:28" ht="15" thickBot="1" x14ac:dyDescent="0.35">
      <c r="A72" s="39"/>
      <c r="B72" s="1" t="s">
        <v>16</v>
      </c>
      <c r="C72" s="9"/>
      <c r="D72" s="10">
        <v>37.770000000000003</v>
      </c>
      <c r="E72" s="9"/>
      <c r="F72" s="10"/>
      <c r="G72" s="9"/>
      <c r="H72" s="10">
        <v>37.61</v>
      </c>
      <c r="I72" s="9"/>
      <c r="J72" s="10"/>
      <c r="K72" s="9"/>
      <c r="L72" s="10">
        <v>37.72</v>
      </c>
      <c r="M72" s="9"/>
      <c r="N72" s="10"/>
      <c r="O72" s="9"/>
      <c r="P72" s="10">
        <v>38.96</v>
      </c>
      <c r="Q72" s="9"/>
      <c r="R72" s="10"/>
      <c r="S72" s="9"/>
      <c r="T72" s="10">
        <v>37.78</v>
      </c>
      <c r="U72" s="9"/>
      <c r="V72" s="10"/>
      <c r="W72" s="9"/>
      <c r="X72" s="10">
        <v>40.79</v>
      </c>
      <c r="Y72" s="9"/>
      <c r="Z72" s="10"/>
      <c r="AA72" s="11">
        <f t="shared" si="2"/>
        <v>0</v>
      </c>
      <c r="AB72" s="12">
        <f t="shared" si="3"/>
        <v>230.63</v>
      </c>
    </row>
    <row r="73" spans="1:28" ht="15" thickBot="1" x14ac:dyDescent="0.35">
      <c r="A73" s="38" t="s">
        <v>49</v>
      </c>
      <c r="B73" s="2" t="s">
        <v>55</v>
      </c>
      <c r="C73" s="4"/>
      <c r="D73" s="7">
        <v>59</v>
      </c>
      <c r="E73" s="4"/>
      <c r="F73" s="7"/>
      <c r="G73" s="4"/>
      <c r="H73" s="7">
        <v>62</v>
      </c>
      <c r="I73" s="4"/>
      <c r="J73" s="7"/>
      <c r="K73" s="4"/>
      <c r="L73" s="7">
        <v>80</v>
      </c>
      <c r="M73" s="4"/>
      <c r="N73" s="7"/>
      <c r="O73" s="4"/>
      <c r="P73" s="7">
        <v>59</v>
      </c>
      <c r="Q73" s="4"/>
      <c r="R73" s="7"/>
      <c r="S73" s="4"/>
      <c r="T73" s="7">
        <f>100+50+353</f>
        <v>503</v>
      </c>
      <c r="U73" s="4"/>
      <c r="V73" s="7"/>
      <c r="W73" s="4"/>
      <c r="X73" s="7">
        <f>52+61+198</f>
        <v>311</v>
      </c>
      <c r="Y73" s="4"/>
      <c r="Z73" s="7"/>
      <c r="AA73" s="4">
        <f t="shared" si="2"/>
        <v>0</v>
      </c>
      <c r="AB73" s="7">
        <f t="shared" si="3"/>
        <v>1074</v>
      </c>
    </row>
    <row r="74" spans="1:28" ht="15" thickBot="1" x14ac:dyDescent="0.35">
      <c r="A74" s="39"/>
      <c r="B74" s="1" t="s">
        <v>16</v>
      </c>
      <c r="C74" s="9"/>
      <c r="D74" s="10">
        <v>71.3</v>
      </c>
      <c r="E74" s="9"/>
      <c r="F74" s="10"/>
      <c r="G74" s="9"/>
      <c r="H74" s="10">
        <v>72.430000000000007</v>
      </c>
      <c r="I74" s="9"/>
      <c r="J74" s="10"/>
      <c r="K74" s="9"/>
      <c r="L74" s="10">
        <v>75.31</v>
      </c>
      <c r="M74" s="9"/>
      <c r="N74" s="10"/>
      <c r="O74" s="9"/>
      <c r="P74" s="10">
        <v>53.93</v>
      </c>
      <c r="Q74" s="9"/>
      <c r="R74" s="10"/>
      <c r="S74" s="9"/>
      <c r="T74" s="10">
        <f>79.11+52.69+123.55</f>
        <v>255.35000000000002</v>
      </c>
      <c r="U74" s="9"/>
      <c r="V74" s="10"/>
      <c r="W74" s="9"/>
      <c r="X74" s="10">
        <f>52.96+72.22+96.23</f>
        <v>221.41000000000003</v>
      </c>
      <c r="Y74" s="9"/>
      <c r="Z74" s="10"/>
      <c r="AA74" s="11">
        <f t="shared" si="2"/>
        <v>0</v>
      </c>
      <c r="AB74" s="12">
        <f t="shared" si="3"/>
        <v>749.73</v>
      </c>
    </row>
    <row r="75" spans="1:28" ht="15" thickBot="1" x14ac:dyDescent="0.35">
      <c r="A75" s="38" t="s">
        <v>58</v>
      </c>
      <c r="B75" s="2" t="s">
        <v>55</v>
      </c>
      <c r="C75" s="4"/>
      <c r="D75" s="7"/>
      <c r="E75" s="4"/>
      <c r="F75" s="7"/>
      <c r="G75" s="4"/>
      <c r="H75" s="7"/>
      <c r="I75" s="4"/>
      <c r="J75" s="7">
        <v>0</v>
      </c>
      <c r="K75" s="4"/>
      <c r="L75" s="7"/>
      <c r="M75" s="4"/>
      <c r="N75" s="7">
        <v>12</v>
      </c>
      <c r="O75" s="4"/>
      <c r="P75" s="7"/>
      <c r="Q75" s="4"/>
      <c r="R75" s="7">
        <v>39</v>
      </c>
      <c r="S75" s="4"/>
      <c r="T75" s="7"/>
      <c r="U75" s="4"/>
      <c r="V75" s="7">
        <v>43</v>
      </c>
      <c r="W75" s="4"/>
      <c r="X75" s="7"/>
      <c r="Y75" s="4"/>
      <c r="Z75" s="7">
        <v>32</v>
      </c>
      <c r="AA75" s="4">
        <f t="shared" si="2"/>
        <v>0</v>
      </c>
      <c r="AB75" s="7">
        <f t="shared" si="3"/>
        <v>126</v>
      </c>
    </row>
    <row r="76" spans="1:28" ht="15" thickBot="1" x14ac:dyDescent="0.35">
      <c r="A76" s="39"/>
      <c r="B76" s="1" t="s">
        <v>16</v>
      </c>
      <c r="C76" s="9"/>
      <c r="D76" s="10"/>
      <c r="E76" s="9"/>
      <c r="F76" s="10"/>
      <c r="G76" s="9"/>
      <c r="H76" s="10"/>
      <c r="I76" s="9"/>
      <c r="J76" s="10">
        <v>34.5</v>
      </c>
      <c r="K76" s="9"/>
      <c r="L76" s="10"/>
      <c r="M76" s="9"/>
      <c r="N76" s="10">
        <v>43.04</v>
      </c>
      <c r="O76" s="9"/>
      <c r="P76" s="10"/>
      <c r="Q76" s="9"/>
      <c r="R76" s="10">
        <v>43.03</v>
      </c>
      <c r="S76" s="9"/>
      <c r="T76" s="10"/>
      <c r="U76" s="9"/>
      <c r="V76" s="10">
        <v>45.36</v>
      </c>
      <c r="W76" s="9"/>
      <c r="X76" s="10"/>
      <c r="Y76" s="9"/>
      <c r="Z76" s="10">
        <v>43.43</v>
      </c>
      <c r="AA76" s="11">
        <f t="shared" si="2"/>
        <v>0</v>
      </c>
      <c r="AB76" s="12">
        <f t="shared" si="3"/>
        <v>209.36</v>
      </c>
    </row>
    <row r="77" spans="1:28" ht="15" thickBot="1" x14ac:dyDescent="0.35">
      <c r="A77" s="38" t="s">
        <v>50</v>
      </c>
      <c r="B77" s="2" t="s">
        <v>55</v>
      </c>
      <c r="C77" s="4"/>
      <c r="D77" s="7"/>
      <c r="E77" s="4"/>
      <c r="F77" s="7"/>
      <c r="G77" s="4"/>
      <c r="H77" s="7"/>
      <c r="I77" s="4"/>
      <c r="J77" s="7">
        <v>0</v>
      </c>
      <c r="K77" s="4"/>
      <c r="L77" s="7"/>
      <c r="M77" s="4"/>
      <c r="N77" s="7">
        <v>0</v>
      </c>
      <c r="O77" s="4"/>
      <c r="P77" s="7"/>
      <c r="Q77" s="4"/>
      <c r="R77" s="7">
        <v>0</v>
      </c>
      <c r="S77" s="4"/>
      <c r="T77" s="7"/>
      <c r="U77" s="4"/>
      <c r="V77" s="7">
        <v>0</v>
      </c>
      <c r="W77" s="4"/>
      <c r="X77" s="7"/>
      <c r="Y77" s="4"/>
      <c r="Z77" s="7">
        <v>0</v>
      </c>
      <c r="AA77" s="4">
        <f t="shared" si="2"/>
        <v>0</v>
      </c>
      <c r="AB77" s="7">
        <f t="shared" si="3"/>
        <v>0</v>
      </c>
    </row>
    <row r="78" spans="1:28" ht="15" thickBot="1" x14ac:dyDescent="0.35">
      <c r="A78" s="39"/>
      <c r="B78" s="1" t="s">
        <v>16</v>
      </c>
      <c r="C78" s="9"/>
      <c r="D78" s="10"/>
      <c r="E78" s="9"/>
      <c r="F78" s="10"/>
      <c r="G78" s="9"/>
      <c r="H78" s="10"/>
      <c r="I78" s="9"/>
      <c r="J78" s="10">
        <v>34.5</v>
      </c>
      <c r="K78" s="9"/>
      <c r="L78" s="10"/>
      <c r="M78" s="9"/>
      <c r="N78" s="10">
        <v>40.93</v>
      </c>
      <c r="O78" s="9"/>
      <c r="P78" s="10"/>
      <c r="Q78" s="9"/>
      <c r="R78" s="10">
        <v>36.15</v>
      </c>
      <c r="S78" s="9"/>
      <c r="T78" s="10"/>
      <c r="U78" s="9"/>
      <c r="V78" s="10">
        <v>37.81</v>
      </c>
      <c r="W78" s="9"/>
      <c r="X78" s="10"/>
      <c r="Y78" s="9"/>
      <c r="Z78" s="10">
        <v>37.81</v>
      </c>
      <c r="AA78" s="11">
        <f t="shared" si="2"/>
        <v>0</v>
      </c>
      <c r="AB78" s="12">
        <f t="shared" si="3"/>
        <v>187.20000000000002</v>
      </c>
    </row>
    <row r="79" spans="1:28" ht="15" thickBot="1" x14ac:dyDescent="0.35">
      <c r="A79" s="38" t="s">
        <v>51</v>
      </c>
      <c r="B79" s="2" t="s">
        <v>55</v>
      </c>
      <c r="C79" s="4"/>
      <c r="D79" s="7">
        <v>77</v>
      </c>
      <c r="E79" s="4"/>
      <c r="F79" s="7"/>
      <c r="G79" s="4"/>
      <c r="H79" s="7"/>
      <c r="I79" s="4"/>
      <c r="J79" s="7">
        <v>0</v>
      </c>
      <c r="K79" s="4"/>
      <c r="L79" s="7"/>
      <c r="M79" s="4"/>
      <c r="N79" s="7">
        <v>151</v>
      </c>
      <c r="O79" s="4"/>
      <c r="P79" s="7"/>
      <c r="Q79" s="4"/>
      <c r="R79" s="7">
        <v>-130</v>
      </c>
      <c r="S79" s="4"/>
      <c r="T79" s="7"/>
      <c r="U79" s="4"/>
      <c r="V79" s="7">
        <v>0</v>
      </c>
      <c r="W79" s="4"/>
      <c r="X79" s="7"/>
      <c r="Y79" s="4"/>
      <c r="Z79" s="7">
        <v>3</v>
      </c>
      <c r="AA79" s="4">
        <f t="shared" si="2"/>
        <v>0</v>
      </c>
      <c r="AB79" s="7">
        <f t="shared" si="3"/>
        <v>101</v>
      </c>
    </row>
    <row r="80" spans="1:28" ht="15" thickBot="1" x14ac:dyDescent="0.35">
      <c r="A80" s="39"/>
      <c r="B80" s="1" t="s">
        <v>16</v>
      </c>
      <c r="C80" s="9"/>
      <c r="D80" s="10">
        <v>55.47</v>
      </c>
      <c r="E80" s="9"/>
      <c r="F80" s="10"/>
      <c r="G80" s="9"/>
      <c r="H80" s="10"/>
      <c r="I80" s="9"/>
      <c r="J80" s="10">
        <v>34.5</v>
      </c>
      <c r="K80" s="9"/>
      <c r="L80" s="10"/>
      <c r="M80" s="9"/>
      <c r="N80" s="10">
        <v>67.53</v>
      </c>
      <c r="O80" s="9"/>
      <c r="P80" s="10"/>
      <c r="Q80" s="9"/>
      <c r="R80" s="10">
        <v>13.24</v>
      </c>
      <c r="S80" s="9"/>
      <c r="T80" s="10"/>
      <c r="U80" s="9"/>
      <c r="V80" s="10">
        <v>37.81</v>
      </c>
      <c r="W80" s="9"/>
      <c r="X80" s="10"/>
      <c r="Y80" s="9"/>
      <c r="Z80" s="10">
        <v>38.340000000000003</v>
      </c>
      <c r="AA80" s="11">
        <f t="shared" si="2"/>
        <v>0</v>
      </c>
      <c r="AB80" s="12">
        <f t="shared" si="3"/>
        <v>246.89000000000001</v>
      </c>
    </row>
    <row r="81" spans="1:28" ht="15" thickBot="1" x14ac:dyDescent="0.35">
      <c r="A81" s="38" t="s">
        <v>52</v>
      </c>
      <c r="B81" s="2" t="s">
        <v>55</v>
      </c>
      <c r="C81" s="4"/>
      <c r="D81" s="7">
        <v>32</v>
      </c>
      <c r="E81" s="4"/>
      <c r="F81" s="7"/>
      <c r="G81" s="4"/>
      <c r="H81" s="7">
        <v>9</v>
      </c>
      <c r="I81" s="4"/>
      <c r="J81" s="7"/>
      <c r="K81" s="4"/>
      <c r="L81" s="7">
        <v>16</v>
      </c>
      <c r="M81" s="4"/>
      <c r="N81" s="7"/>
      <c r="O81" s="4"/>
      <c r="P81" s="7">
        <v>77</v>
      </c>
      <c r="Q81" s="4"/>
      <c r="R81" s="7"/>
      <c r="S81" s="4"/>
      <c r="T81" s="7">
        <v>41</v>
      </c>
      <c r="U81" s="4"/>
      <c r="V81" s="7"/>
      <c r="W81" s="4"/>
      <c r="X81" s="7">
        <v>39</v>
      </c>
      <c r="Y81" s="4"/>
      <c r="Z81" s="7"/>
      <c r="AA81" s="4">
        <f t="shared" si="2"/>
        <v>0</v>
      </c>
      <c r="AB81" s="7">
        <f t="shared" si="3"/>
        <v>214</v>
      </c>
    </row>
    <row r="82" spans="1:28" ht="15" thickBot="1" x14ac:dyDescent="0.35">
      <c r="A82" s="39"/>
      <c r="B82" s="1" t="s">
        <v>16</v>
      </c>
      <c r="C82" s="9"/>
      <c r="D82" s="10">
        <v>66.7</v>
      </c>
      <c r="E82" s="9"/>
      <c r="F82" s="10"/>
      <c r="G82" s="9"/>
      <c r="H82" s="10">
        <v>62.79</v>
      </c>
      <c r="I82" s="9"/>
      <c r="J82" s="10"/>
      <c r="K82" s="9"/>
      <c r="L82" s="10">
        <v>64.02</v>
      </c>
      <c r="M82" s="9"/>
      <c r="N82" s="10"/>
      <c r="O82" s="9"/>
      <c r="P82" s="10">
        <v>74.77</v>
      </c>
      <c r="Q82" s="9"/>
      <c r="R82" s="10"/>
      <c r="S82" s="9"/>
      <c r="T82" s="10">
        <v>68.709999999999994</v>
      </c>
      <c r="U82" s="9"/>
      <c r="V82" s="10"/>
      <c r="W82" s="9"/>
      <c r="X82" s="10">
        <v>68.37</v>
      </c>
      <c r="Y82" s="9"/>
      <c r="Z82" s="10"/>
      <c r="AA82" s="11">
        <f t="shared" si="2"/>
        <v>0</v>
      </c>
      <c r="AB82" s="12">
        <f t="shared" si="3"/>
        <v>405.35999999999996</v>
      </c>
    </row>
    <row r="83" spans="1:28" ht="15" customHeight="1" thickBot="1" x14ac:dyDescent="0.35">
      <c r="A83" s="38" t="s">
        <v>53</v>
      </c>
      <c r="B83" s="2" t="s">
        <v>55</v>
      </c>
      <c r="C83" s="4"/>
      <c r="D83" s="7"/>
      <c r="E83" s="4"/>
      <c r="F83" s="7">
        <v>0</v>
      </c>
      <c r="G83" s="4"/>
      <c r="H83" s="7"/>
      <c r="I83" s="4"/>
      <c r="J83" s="7">
        <v>0</v>
      </c>
      <c r="K83" s="4"/>
      <c r="L83" s="7"/>
      <c r="M83" s="4"/>
      <c r="N83" s="7"/>
      <c r="O83" s="4"/>
      <c r="P83" s="7"/>
      <c r="Q83" s="4"/>
      <c r="R83" s="7">
        <v>0</v>
      </c>
      <c r="S83" s="4"/>
      <c r="T83" s="7"/>
      <c r="U83" s="4"/>
      <c r="V83" s="7">
        <v>0</v>
      </c>
      <c r="W83" s="4"/>
      <c r="X83" s="7"/>
      <c r="Y83" s="4"/>
      <c r="Z83" s="7">
        <v>0</v>
      </c>
      <c r="AA83" s="4">
        <f t="shared" si="2"/>
        <v>0</v>
      </c>
      <c r="AB83" s="7">
        <f t="shared" si="3"/>
        <v>0</v>
      </c>
    </row>
    <row r="84" spans="1:28" ht="15" thickBot="1" x14ac:dyDescent="0.35">
      <c r="A84" s="39"/>
      <c r="B84" s="1" t="s">
        <v>16</v>
      </c>
      <c r="C84" s="9"/>
      <c r="D84" s="10"/>
      <c r="E84" s="9"/>
      <c r="F84" s="10">
        <v>35.11</v>
      </c>
      <c r="G84" s="9"/>
      <c r="H84" s="10"/>
      <c r="I84" s="9"/>
      <c r="J84" s="10">
        <v>31.49</v>
      </c>
      <c r="K84" s="9"/>
      <c r="L84" s="10"/>
      <c r="M84" s="9"/>
      <c r="N84" s="10"/>
      <c r="O84" s="9"/>
      <c r="P84" s="10"/>
      <c r="Q84" s="9"/>
      <c r="R84" s="10">
        <v>31.72</v>
      </c>
      <c r="S84" s="9"/>
      <c r="T84" s="10"/>
      <c r="U84" s="9"/>
      <c r="V84" s="10">
        <v>31.74</v>
      </c>
      <c r="W84" s="9"/>
      <c r="X84" s="10"/>
      <c r="Y84" s="9"/>
      <c r="Z84" s="10">
        <v>31.74</v>
      </c>
      <c r="AA84" s="11">
        <f t="shared" si="2"/>
        <v>0</v>
      </c>
      <c r="AB84" s="12">
        <f t="shared" si="3"/>
        <v>161.80000000000001</v>
      </c>
    </row>
    <row r="85" spans="1:28" ht="15" customHeight="1" thickBot="1" x14ac:dyDescent="0.35">
      <c r="A85" s="38" t="s">
        <v>54</v>
      </c>
      <c r="B85" s="2" t="s">
        <v>55</v>
      </c>
      <c r="C85" s="4"/>
      <c r="D85" s="7">
        <v>0</v>
      </c>
      <c r="E85" s="4"/>
      <c r="F85" s="7"/>
      <c r="G85" s="4"/>
      <c r="H85" s="7">
        <v>0</v>
      </c>
      <c r="I85" s="4"/>
      <c r="J85" s="7"/>
      <c r="K85" s="4"/>
      <c r="L85" s="7">
        <v>0</v>
      </c>
      <c r="M85" s="4"/>
      <c r="N85" s="7"/>
      <c r="O85" s="4"/>
      <c r="P85" s="7">
        <v>0</v>
      </c>
      <c r="Q85" s="4"/>
      <c r="R85" s="7"/>
      <c r="S85" s="4"/>
      <c r="T85" s="7">
        <f>0</f>
        <v>0</v>
      </c>
      <c r="U85" s="4"/>
      <c r="V85" s="7"/>
      <c r="W85" s="4"/>
      <c r="X85" s="7">
        <v>0</v>
      </c>
      <c r="Y85" s="4"/>
      <c r="Z85" s="7"/>
      <c r="AA85" s="4">
        <f t="shared" si="2"/>
        <v>0</v>
      </c>
      <c r="AB85" s="7">
        <f t="shared" si="3"/>
        <v>0</v>
      </c>
    </row>
    <row r="86" spans="1:28" ht="15" thickBot="1" x14ac:dyDescent="0.35">
      <c r="A86" s="39"/>
      <c r="B86" s="1" t="s">
        <v>16</v>
      </c>
      <c r="C86" s="9"/>
      <c r="D86" s="10">
        <v>37.770000000000003</v>
      </c>
      <c r="E86" s="9"/>
      <c r="F86" s="10"/>
      <c r="G86" s="9"/>
      <c r="H86" s="10">
        <v>37.61</v>
      </c>
      <c r="I86" s="9"/>
      <c r="J86" s="10"/>
      <c r="K86" s="9"/>
      <c r="L86" s="10">
        <v>37.72</v>
      </c>
      <c r="M86" s="9"/>
      <c r="N86" s="10"/>
      <c r="O86" s="9"/>
      <c r="P86" s="10">
        <v>37.72</v>
      </c>
      <c r="Q86" s="9"/>
      <c r="R86" s="10"/>
      <c r="S86" s="9"/>
      <c r="T86" s="10">
        <f>43.91+37.79</f>
        <v>81.699999999999989</v>
      </c>
      <c r="U86" s="9"/>
      <c r="V86" s="10"/>
      <c r="W86" s="9"/>
      <c r="X86" s="10">
        <f>37.81+43.84</f>
        <v>81.650000000000006</v>
      </c>
      <c r="Y86" s="9"/>
      <c r="Z86" s="10"/>
      <c r="AA86" s="11">
        <f t="shared" si="2"/>
        <v>0</v>
      </c>
      <c r="AB86" s="12">
        <f t="shared" si="3"/>
        <v>314.16999999999996</v>
      </c>
    </row>
    <row r="87" spans="1:28" ht="15" thickBot="1" x14ac:dyDescent="0.35">
      <c r="A87" s="38" t="s">
        <v>60</v>
      </c>
      <c r="B87" s="2" t="s">
        <v>55</v>
      </c>
      <c r="C87" s="4"/>
      <c r="D87" s="7"/>
      <c r="E87" s="4"/>
      <c r="F87" s="7"/>
      <c r="G87" s="4"/>
      <c r="H87" s="7"/>
      <c r="I87" s="4"/>
      <c r="J87" s="7"/>
      <c r="K87" s="4"/>
      <c r="L87" s="7"/>
      <c r="M87" s="4"/>
      <c r="N87" s="7"/>
      <c r="O87" s="4"/>
      <c r="P87" s="7"/>
      <c r="Q87" s="4"/>
      <c r="R87" s="7">
        <v>172</v>
      </c>
      <c r="S87" s="4"/>
      <c r="T87" s="7"/>
      <c r="U87" s="4"/>
      <c r="V87" s="7">
        <v>172</v>
      </c>
      <c r="W87" s="4"/>
      <c r="X87" s="7"/>
      <c r="Y87" s="4"/>
      <c r="Z87" s="7">
        <v>145</v>
      </c>
      <c r="AA87" s="4">
        <f t="shared" si="2"/>
        <v>0</v>
      </c>
      <c r="AB87" s="7">
        <f t="shared" si="3"/>
        <v>489</v>
      </c>
    </row>
    <row r="88" spans="1:28" ht="15" thickBot="1" x14ac:dyDescent="0.35">
      <c r="A88" s="39"/>
      <c r="B88" s="1" t="s">
        <v>16</v>
      </c>
      <c r="C88" s="9"/>
      <c r="D88" s="10"/>
      <c r="E88" s="9"/>
      <c r="F88" s="10"/>
      <c r="G88" s="9"/>
      <c r="H88" s="10"/>
      <c r="I88" s="9"/>
      <c r="J88" s="10"/>
      <c r="K88" s="9"/>
      <c r="L88" s="10"/>
      <c r="M88" s="9"/>
      <c r="N88" s="10"/>
      <c r="O88" s="9"/>
      <c r="P88" s="10"/>
      <c r="Q88" s="9"/>
      <c r="R88" s="10">
        <v>74.12</v>
      </c>
      <c r="S88" s="9"/>
      <c r="T88" s="10"/>
      <c r="U88" s="9"/>
      <c r="V88" s="10">
        <v>74</v>
      </c>
      <c r="W88" s="9"/>
      <c r="X88" s="10"/>
      <c r="Y88" s="9"/>
      <c r="Z88" s="10">
        <v>69.260000000000005</v>
      </c>
      <c r="AA88" s="11">
        <f t="shared" si="2"/>
        <v>0</v>
      </c>
      <c r="AB88" s="12">
        <f t="shared" si="3"/>
        <v>217.38</v>
      </c>
    </row>
    <row r="89" spans="1:28" ht="15" thickBot="1" x14ac:dyDescent="0.35">
      <c r="A89" s="36" t="s">
        <v>56</v>
      </c>
      <c r="B89" s="2" t="s">
        <v>55</v>
      </c>
      <c r="C89" s="4"/>
      <c r="D89" s="7"/>
      <c r="E89" s="4"/>
      <c r="F89" s="7">
        <v>2635</v>
      </c>
      <c r="G89" s="4"/>
      <c r="H89" s="7"/>
      <c r="I89" s="4"/>
      <c r="J89" s="7">
        <v>2578</v>
      </c>
      <c r="K89" s="4"/>
      <c r="L89" s="7"/>
      <c r="M89" s="4"/>
      <c r="N89" s="7">
        <v>1002</v>
      </c>
      <c r="O89" s="4"/>
      <c r="P89" s="7">
        <v>183</v>
      </c>
      <c r="Q89" s="4"/>
      <c r="R89" s="7">
        <v>651</v>
      </c>
      <c r="S89" s="4"/>
      <c r="T89" s="7"/>
      <c r="U89" s="4"/>
      <c r="V89" s="7">
        <v>850</v>
      </c>
      <c r="W89" s="4"/>
      <c r="X89" s="7"/>
      <c r="Y89" s="4"/>
      <c r="Z89" s="7">
        <v>1386</v>
      </c>
      <c r="AA89" s="4">
        <f t="shared" si="2"/>
        <v>0</v>
      </c>
      <c r="AB89" s="7">
        <f t="shared" si="3"/>
        <v>9285</v>
      </c>
    </row>
    <row r="90" spans="1:28" ht="15" thickBot="1" x14ac:dyDescent="0.35">
      <c r="A90" s="37"/>
      <c r="B90" s="1" t="s">
        <v>16</v>
      </c>
      <c r="C90" s="9"/>
      <c r="D90" s="10"/>
      <c r="E90" s="9"/>
      <c r="F90" s="10">
        <v>605.45000000000005</v>
      </c>
      <c r="G90" s="9"/>
      <c r="H90" s="10"/>
      <c r="I90" s="9"/>
      <c r="J90" s="10">
        <v>541.33000000000004</v>
      </c>
      <c r="K90" s="9"/>
      <c r="L90" s="10"/>
      <c r="M90" s="9"/>
      <c r="N90" s="10">
        <v>269.60000000000002</v>
      </c>
      <c r="O90" s="9"/>
      <c r="P90" s="10">
        <v>106.3</v>
      </c>
      <c r="Q90" s="9"/>
      <c r="R90" s="10">
        <v>214.46</v>
      </c>
      <c r="S90" s="9"/>
      <c r="T90" s="10"/>
      <c r="U90" s="9"/>
      <c r="V90" s="10">
        <v>247.65</v>
      </c>
      <c r="W90" s="9"/>
      <c r="X90" s="10"/>
      <c r="Y90" s="9"/>
      <c r="Z90" s="10">
        <v>339.84</v>
      </c>
      <c r="AA90" s="11">
        <f t="shared" si="2"/>
        <v>0</v>
      </c>
      <c r="AB90" s="12">
        <f t="shared" si="3"/>
        <v>2324.63</v>
      </c>
    </row>
    <row r="91" spans="1:28" ht="15" thickBot="1" x14ac:dyDescent="0.35">
      <c r="A91" s="36" t="s">
        <v>61</v>
      </c>
      <c r="B91" s="2" t="s">
        <v>55</v>
      </c>
      <c r="C91" s="4"/>
      <c r="D91" s="7"/>
      <c r="E91" s="4"/>
      <c r="F91" s="7"/>
      <c r="G91" s="4"/>
      <c r="H91" s="7"/>
      <c r="I91" s="4"/>
      <c r="J91" s="7"/>
      <c r="K91" s="4"/>
      <c r="L91" s="7"/>
      <c r="M91" s="4"/>
      <c r="N91" s="7"/>
      <c r="O91" s="4"/>
      <c r="P91" s="7"/>
      <c r="Q91" s="4"/>
      <c r="R91" s="7">
        <v>60663</v>
      </c>
      <c r="S91" s="4"/>
      <c r="T91" s="7"/>
      <c r="U91" s="4"/>
      <c r="V91" s="7"/>
      <c r="W91" s="4"/>
      <c r="X91" s="7">
        <v>485</v>
      </c>
      <c r="Y91" s="4"/>
      <c r="Z91" s="7"/>
      <c r="AA91" s="4">
        <f t="shared" si="2"/>
        <v>0</v>
      </c>
      <c r="AB91" s="7">
        <f t="shared" si="3"/>
        <v>61148</v>
      </c>
    </row>
    <row r="92" spans="1:28" ht="15" thickBot="1" x14ac:dyDescent="0.35">
      <c r="A92" s="37"/>
      <c r="B92" s="1" t="s">
        <v>16</v>
      </c>
      <c r="C92" s="9"/>
      <c r="D92" s="10"/>
      <c r="E92" s="9"/>
      <c r="F92" s="10"/>
      <c r="G92" s="9"/>
      <c r="H92" s="10"/>
      <c r="I92" s="9"/>
      <c r="J92" s="10"/>
      <c r="K92" s="9"/>
      <c r="L92" s="10"/>
      <c r="M92" s="9"/>
      <c r="N92" s="10"/>
      <c r="O92" s="9"/>
      <c r="P92" s="10"/>
      <c r="Q92" s="9"/>
      <c r="R92" s="10">
        <v>10743.19</v>
      </c>
      <c r="S92" s="9"/>
      <c r="T92" s="10"/>
      <c r="U92" s="9"/>
      <c r="V92" s="10"/>
      <c r="W92" s="9"/>
      <c r="X92" s="10">
        <v>181.1</v>
      </c>
      <c r="Y92" s="9"/>
      <c r="Z92" s="10"/>
      <c r="AA92" s="11">
        <f t="shared" si="2"/>
        <v>0</v>
      </c>
      <c r="AB92" s="12">
        <f t="shared" si="3"/>
        <v>10924.29</v>
      </c>
    </row>
    <row r="93" spans="1:28" ht="15" thickBot="1" x14ac:dyDescent="0.35">
      <c r="A93" s="36" t="s">
        <v>62</v>
      </c>
      <c r="B93" s="2" t="s">
        <v>55</v>
      </c>
      <c r="C93" s="4"/>
      <c r="D93" s="7"/>
      <c r="E93" s="4"/>
      <c r="F93" s="7"/>
      <c r="G93" s="4"/>
      <c r="H93" s="7"/>
      <c r="I93" s="4"/>
      <c r="J93" s="7"/>
      <c r="K93" s="4"/>
      <c r="L93" s="7"/>
      <c r="M93" s="4"/>
      <c r="N93" s="7"/>
      <c r="O93" s="4"/>
      <c r="P93" s="7">
        <v>0</v>
      </c>
      <c r="Q93" s="4"/>
      <c r="R93" s="7">
        <v>38</v>
      </c>
      <c r="S93" s="4"/>
      <c r="T93" s="7">
        <f>1+47</f>
        <v>48</v>
      </c>
      <c r="U93" s="4"/>
      <c r="V93" s="7"/>
      <c r="W93" s="4"/>
      <c r="X93" s="7">
        <f>0+129</f>
        <v>129</v>
      </c>
      <c r="Y93" s="4"/>
      <c r="Z93" s="7"/>
      <c r="AA93" s="4">
        <f t="shared" si="2"/>
        <v>0</v>
      </c>
      <c r="AB93" s="7">
        <f t="shared" si="3"/>
        <v>215</v>
      </c>
    </row>
    <row r="94" spans="1:28" ht="15" thickBot="1" x14ac:dyDescent="0.35">
      <c r="A94" s="37"/>
      <c r="B94" s="1" t="s">
        <v>16</v>
      </c>
      <c r="C94" s="9"/>
      <c r="D94" s="10"/>
      <c r="E94" s="9"/>
      <c r="F94" s="10"/>
      <c r="G94" s="9"/>
      <c r="H94" s="10"/>
      <c r="I94" s="9"/>
      <c r="J94" s="10"/>
      <c r="K94" s="9"/>
      <c r="L94" s="10"/>
      <c r="M94" s="9"/>
      <c r="N94" s="10"/>
      <c r="O94" s="9"/>
      <c r="P94" s="10">
        <v>31.49</v>
      </c>
      <c r="Q94" s="9"/>
      <c r="R94" s="10">
        <v>65.95</v>
      </c>
      <c r="S94" s="9"/>
      <c r="T94" s="10">
        <f>32+71.39</f>
        <v>103.39</v>
      </c>
      <c r="U94" s="9"/>
      <c r="V94" s="10"/>
      <c r="W94" s="9"/>
      <c r="X94" s="10">
        <f>31.74+175.86</f>
        <v>207.60000000000002</v>
      </c>
      <c r="Y94" s="9"/>
      <c r="Z94" s="10"/>
      <c r="AA94" s="11">
        <f t="shared" si="2"/>
        <v>0</v>
      </c>
      <c r="AB94" s="12">
        <f t="shared" si="3"/>
        <v>408.43</v>
      </c>
    </row>
    <row r="95" spans="1:28" ht="15" thickBot="1" x14ac:dyDescent="0.35">
      <c r="A95" s="36" t="s">
        <v>63</v>
      </c>
      <c r="B95" s="2" t="s">
        <v>55</v>
      </c>
      <c r="C95" s="4">
        <v>0</v>
      </c>
      <c r="D95" s="7"/>
      <c r="E95" s="4">
        <v>0</v>
      </c>
      <c r="F95" s="7"/>
      <c r="G95" s="4">
        <v>0</v>
      </c>
      <c r="H95" s="7"/>
      <c r="I95" s="4">
        <v>1178</v>
      </c>
      <c r="J95" s="7"/>
      <c r="K95" s="4">
        <v>0</v>
      </c>
      <c r="L95" s="7"/>
      <c r="M95" s="4">
        <v>0</v>
      </c>
      <c r="N95" s="7"/>
      <c r="O95" s="4">
        <v>0</v>
      </c>
      <c r="P95" s="7"/>
      <c r="Q95" s="4">
        <v>0</v>
      </c>
      <c r="R95" s="7"/>
      <c r="S95" s="4">
        <v>0</v>
      </c>
      <c r="T95" s="7">
        <v>1082</v>
      </c>
      <c r="U95" s="4">
        <v>0</v>
      </c>
      <c r="V95" s="7"/>
      <c r="W95" s="4">
        <v>0</v>
      </c>
      <c r="X95" s="7"/>
      <c r="Y95" s="4"/>
      <c r="Z95" s="7">
        <v>1066</v>
      </c>
      <c r="AA95" s="4">
        <f t="shared" si="2"/>
        <v>1178</v>
      </c>
      <c r="AB95" s="7">
        <f t="shared" si="3"/>
        <v>2148</v>
      </c>
    </row>
    <row r="96" spans="1:28" ht="15" thickBot="1" x14ac:dyDescent="0.35">
      <c r="A96" s="37"/>
      <c r="B96" s="1" t="s">
        <v>16</v>
      </c>
      <c r="C96" s="9">
        <v>15.11</v>
      </c>
      <c r="D96" s="10"/>
      <c r="E96" s="9">
        <v>401.31</v>
      </c>
      <c r="F96" s="10"/>
      <c r="G96" s="9">
        <v>15.11</v>
      </c>
      <c r="H96" s="10"/>
      <c r="I96" s="9">
        <v>168.47</v>
      </c>
      <c r="J96" s="10"/>
      <c r="K96" s="9">
        <v>91.79</v>
      </c>
      <c r="L96" s="10"/>
      <c r="M96" s="9">
        <v>91.79</v>
      </c>
      <c r="N96" s="10"/>
      <c r="O96" s="9">
        <v>91.33</v>
      </c>
      <c r="P96" s="10"/>
      <c r="Q96" s="9">
        <v>14.65</v>
      </c>
      <c r="R96" s="10"/>
      <c r="S96" s="9">
        <v>81.010000000000005</v>
      </c>
      <c r="T96" s="10">
        <v>471.78</v>
      </c>
      <c r="U96" s="9">
        <v>84.77</v>
      </c>
      <c r="V96" s="10"/>
      <c r="W96" s="9">
        <v>92.55</v>
      </c>
      <c r="X96" s="10"/>
      <c r="Y96" s="9"/>
      <c r="Z96" s="10">
        <v>597.94000000000005</v>
      </c>
      <c r="AA96" s="11">
        <f t="shared" si="2"/>
        <v>1147.8899999999999</v>
      </c>
      <c r="AB96" s="12">
        <f t="shared" si="3"/>
        <v>1069.72</v>
      </c>
    </row>
    <row r="97" spans="1:28" ht="15" thickBot="1" x14ac:dyDescent="0.35">
      <c r="A97" s="34" t="s">
        <v>64</v>
      </c>
      <c r="B97" s="13" t="s">
        <v>55</v>
      </c>
      <c r="C97" s="14">
        <f>C5+C7+C9+C11+C13+C15+C17+C19+C21+C23+C25+C27+C29+C31+C33+C35+C37+C39+C41+C43+C45+C47+C49+C51+C53+C55+C57+C59+C61+C63+C67+C69+C71+C73+C75+C77+C79+C81+C83+C85+C87+C89+C91+C93+C95</f>
        <v>15392</v>
      </c>
      <c r="D97" s="14">
        <f t="shared" ref="D97:Z97" si="4">D5+D7+D9+D11+D13+D15+D17+D19+D21+D23+D25+D27+D29+D31+D33+D35+D37+D39+D41+D43+D45+D47+D49+D51+D53+D55+D57+D59+D61+D63+D67+D69+D71+D73+D75+D77+D79+D81+D83+D85+D87+D89+D91+D93+D95</f>
        <v>22341</v>
      </c>
      <c r="E97" s="14">
        <f t="shared" si="4"/>
        <v>102473</v>
      </c>
      <c r="F97" s="14">
        <f t="shared" si="4"/>
        <v>56511</v>
      </c>
      <c r="G97" s="14">
        <f t="shared" si="4"/>
        <v>129326</v>
      </c>
      <c r="H97" s="14">
        <f t="shared" si="4"/>
        <v>20356</v>
      </c>
      <c r="I97" s="14">
        <f t="shared" si="4"/>
        <v>24953</v>
      </c>
      <c r="J97" s="14">
        <f t="shared" si="4"/>
        <v>49711</v>
      </c>
      <c r="K97" s="14">
        <f t="shared" si="4"/>
        <v>73263</v>
      </c>
      <c r="L97" s="14">
        <f t="shared" si="4"/>
        <v>17065</v>
      </c>
      <c r="M97" s="14">
        <f t="shared" si="4"/>
        <v>89418</v>
      </c>
      <c r="N97" s="14">
        <f t="shared" si="4"/>
        <v>23740</v>
      </c>
      <c r="O97" s="14">
        <f t="shared" si="4"/>
        <v>2444</v>
      </c>
      <c r="P97" s="14">
        <f t="shared" si="4"/>
        <v>15015</v>
      </c>
      <c r="Q97" s="14">
        <f t="shared" si="4"/>
        <v>112359</v>
      </c>
      <c r="R97" s="14">
        <f t="shared" si="4"/>
        <v>80919</v>
      </c>
      <c r="S97" s="14">
        <f t="shared" si="4"/>
        <v>4409</v>
      </c>
      <c r="T97" s="14">
        <f t="shared" si="4"/>
        <v>16924</v>
      </c>
      <c r="U97" s="14">
        <f t="shared" si="4"/>
        <v>962</v>
      </c>
      <c r="V97" s="14">
        <f t="shared" si="4"/>
        <v>2439</v>
      </c>
      <c r="W97" s="14">
        <f t="shared" si="4"/>
        <v>0</v>
      </c>
      <c r="X97" s="14">
        <f t="shared" si="4"/>
        <v>34956</v>
      </c>
      <c r="Y97" s="14">
        <f t="shared" si="4"/>
        <v>0</v>
      </c>
      <c r="Z97" s="14">
        <f t="shared" si="4"/>
        <v>4023</v>
      </c>
      <c r="AA97" s="14">
        <f>C97+E97+G97+I97+K97+M97+O97+Q97+S97+U97+W97+Y97</f>
        <v>554999</v>
      </c>
      <c r="AB97" s="15">
        <f>D97+F97+H97+J97+L97+N97+P97+R97+T97+V97+X97+Z97</f>
        <v>344000</v>
      </c>
    </row>
    <row r="98" spans="1:28" ht="15" thickBot="1" x14ac:dyDescent="0.35">
      <c r="A98" s="35"/>
      <c r="B98" s="16" t="s">
        <v>16</v>
      </c>
      <c r="C98" s="17">
        <f>C6+C8+C10+C12+C14+C16+C18+C20+C22+C24+C26+C28+C30+C32+C34+C36+C38+C40+C42+C44+C46+C48+C50+C52+C54+C56+C58+C60+C62+C64+C68+C70+C72+C74+C76+C78+C80+C82+C84+C86+C88+C90+C92+C94+C96</f>
        <v>2363.9100000000003</v>
      </c>
      <c r="D98" s="17">
        <f t="shared" ref="D98:Z98" si="5">D6+D8+D10+D12+D14+D16+D18+D20+D22+D24+D26+D28+D30+D32+D34+D36+D38+D40+D42+D44+D46+D48+D50+D52+D54+D56+D58+D60+D62+D64+D68+D70+D72+D74+D76+D78+D80+D82+D84+D86+D88+D90+D92+D94+D96</f>
        <v>5098.2000000000007</v>
      </c>
      <c r="E98" s="17">
        <f t="shared" si="5"/>
        <v>16657.57</v>
      </c>
      <c r="F98" s="17">
        <f t="shared" si="5"/>
        <v>12790.34</v>
      </c>
      <c r="G98" s="17">
        <f t="shared" si="5"/>
        <v>18376.53</v>
      </c>
      <c r="H98" s="17">
        <f t="shared" si="5"/>
        <v>5173.33</v>
      </c>
      <c r="I98" s="17">
        <f t="shared" si="5"/>
        <v>3936.7799999999997</v>
      </c>
      <c r="J98" s="17">
        <f t="shared" si="5"/>
        <v>11111.740000000002</v>
      </c>
      <c r="K98" s="17">
        <f t="shared" si="5"/>
        <v>13254.490000000002</v>
      </c>
      <c r="L98" s="17">
        <f t="shared" si="5"/>
        <v>4210.5400000000009</v>
      </c>
      <c r="M98" s="17">
        <f t="shared" si="5"/>
        <v>14155.010000000002</v>
      </c>
      <c r="N98" s="17">
        <f t="shared" si="5"/>
        <v>5804.7300000000014</v>
      </c>
      <c r="O98" s="17">
        <f t="shared" si="5"/>
        <v>736.28000000000009</v>
      </c>
      <c r="P98" s="17">
        <f t="shared" si="5"/>
        <v>4199.3499999999995</v>
      </c>
      <c r="Q98" s="17">
        <f t="shared" si="5"/>
        <v>20796.34</v>
      </c>
      <c r="R98" s="17">
        <f t="shared" si="5"/>
        <v>16034.79</v>
      </c>
      <c r="S98" s="17">
        <f t="shared" si="5"/>
        <v>952.5</v>
      </c>
      <c r="T98" s="17">
        <f t="shared" si="5"/>
        <v>4363.7099999999991</v>
      </c>
      <c r="U98" s="17">
        <f t="shared" si="5"/>
        <v>518.16</v>
      </c>
      <c r="V98" s="17">
        <f t="shared" si="5"/>
        <v>958.95999999999992</v>
      </c>
      <c r="W98" s="17">
        <f t="shared" si="5"/>
        <v>92.55</v>
      </c>
      <c r="X98" s="17">
        <f t="shared" si="5"/>
        <v>9735.2100000000028</v>
      </c>
      <c r="Y98" s="17">
        <f t="shared" si="5"/>
        <v>0</v>
      </c>
      <c r="Z98" s="17">
        <f t="shared" si="5"/>
        <v>1770.51</v>
      </c>
      <c r="AA98" s="18">
        <f>C98+E98+G98+I98+K98+M98+O98+Q98+S98+U98+W98+Y98</f>
        <v>91840.12000000001</v>
      </c>
      <c r="AB98" s="19">
        <f>D98+F98+H98+J98+L98+N98+P98+R98+T98+V98+X98+Z98</f>
        <v>81251.410000000018</v>
      </c>
    </row>
  </sheetData>
  <mergeCells count="77">
    <mergeCell ref="A95:A96"/>
    <mergeCell ref="AA3:AB3"/>
    <mergeCell ref="AA65:AB65"/>
    <mergeCell ref="A1:AB1"/>
    <mergeCell ref="A97:A98"/>
    <mergeCell ref="A89:A90"/>
    <mergeCell ref="A75:A76"/>
    <mergeCell ref="A87:A88"/>
    <mergeCell ref="A91:A92"/>
    <mergeCell ref="A93:A94"/>
    <mergeCell ref="B3:B4"/>
    <mergeCell ref="A3:A4"/>
    <mergeCell ref="A13:A14"/>
    <mergeCell ref="A11:A12"/>
    <mergeCell ref="A9:A10"/>
    <mergeCell ref="A7:A8"/>
    <mergeCell ref="A5:A6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79:A80"/>
    <mergeCell ref="A81:A82"/>
    <mergeCell ref="A83:A84"/>
    <mergeCell ref="A85:A86"/>
    <mergeCell ref="A65:A66"/>
    <mergeCell ref="A67:A68"/>
    <mergeCell ref="A69:A70"/>
    <mergeCell ref="A71:A72"/>
    <mergeCell ref="A73:A74"/>
    <mergeCell ref="A77:A78"/>
    <mergeCell ref="B65:B66"/>
    <mergeCell ref="C65:D65"/>
    <mergeCell ref="E65:F65"/>
    <mergeCell ref="G65:H65"/>
    <mergeCell ref="I65:J65"/>
    <mergeCell ref="U65:V65"/>
    <mergeCell ref="W65:X65"/>
    <mergeCell ref="Y65:Z65"/>
    <mergeCell ref="K65:L65"/>
    <mergeCell ref="M65:N65"/>
    <mergeCell ref="O65:P65"/>
    <mergeCell ref="Q65:R65"/>
    <mergeCell ref="S65:T65"/>
  </mergeCells>
  <pageMargins left="0.25" right="0.25" top="0.75" bottom="0.75" header="0.3" footer="0.3"/>
  <pageSetup paperSize="8" scale="63" fitToHeight="0" orientation="landscape" r:id="rId1"/>
  <headerFooter>
    <oddFooter>&amp;CConsommation électricité et gaz bâtiments communaux 2022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GUIARD</dc:creator>
  <cp:lastModifiedBy>Charlotte SAULNERON</cp:lastModifiedBy>
  <cp:lastPrinted>2023-03-09T14:34:47Z</cp:lastPrinted>
  <dcterms:created xsi:type="dcterms:W3CDTF">2022-08-22T09:30:08Z</dcterms:created>
  <dcterms:modified xsi:type="dcterms:W3CDTF">2023-03-09T17:17:16Z</dcterms:modified>
</cp:coreProperties>
</file>